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030" windowHeight="10020" activeTab="0"/>
  </bookViews>
  <sheets>
    <sheet name="Air Dispersion Modeling Survey" sheetId="1" r:id="rId1"/>
    <sheet name="DV-IDENTITY-0" sheetId="2" state="veryHidden" r:id="rId2"/>
  </sheets>
  <definedNames/>
  <calcPr fullCalcOnLoad="1"/>
</workbook>
</file>

<file path=xl/sharedStrings.xml><?xml version="1.0" encoding="utf-8"?>
<sst xmlns="http://schemas.openxmlformats.org/spreadsheetml/2006/main" count="305" uniqueCount="248">
  <si>
    <t>Zoomerang Survey Results</t>
  </si>
  <si>
    <t>Air Dispersion Modeling Survey</t>
  </si>
  <si>
    <t>Response Status: Completes</t>
  </si>
  <si>
    <t>Filter: No filter applied</t>
  </si>
  <si>
    <t>Apr 09, 2012 12:29 PM PST</t>
  </si>
  <si>
    <t>1. The South Carolina Department of Health and Environmental Control’s Bureau of Air Quality is seeking information on your state’s air dispersion modeling program.  We are evaluating possible alternatives to our current modeling requirements.   Your participation in this survey will greatly assist us.  Please contact Rhonda Thompson (803-898-4391 or thompsrb@dhec.sc.gov) with any questions you might have regarding the survey below.</t>
  </si>
  <si>
    <t>38 Responses</t>
  </si>
  <si>
    <t>2. Does your state require air dispersion modeling for minor source construction permits?</t>
  </si>
  <si>
    <t>Yes</t>
  </si>
  <si>
    <t>No</t>
  </si>
  <si>
    <t>Total</t>
  </si>
  <si>
    <t>25 Responses</t>
  </si>
  <si>
    <t>3. Does your state require air dispersion modeling for Title V major sources?</t>
  </si>
  <si>
    <t>4. Does your state require air dispersion modeling for operating permit renewals?</t>
  </si>
  <si>
    <t>5. Does your state require non-PSD sources to do air dispersion modeling for the 1-hour SO2, 1-hour NO2, or PM2.5 National Ambient Air Quality Standards (NAAQS) prior to obtaining a construction permit?</t>
  </si>
  <si>
    <t>23 Responses</t>
  </si>
  <si>
    <t>6. Has your state issued (or have in-house) any PSD construction permits that required modeling for the 1-hour SO2, the 1-hour NO2, or PM2.5 NAAQS?</t>
  </si>
  <si>
    <t>26 Responses</t>
  </si>
  <si>
    <t>7. Does your state modeling staff rerun the models submitted by the applicant to verify the results?</t>
  </si>
  <si>
    <t>15 Responses</t>
  </si>
  <si>
    <t>8. Does your state require air dispersion modeling for air toxics?</t>
  </si>
  <si>
    <t>9. Does your state require or conduct air dispersion modeling to address citizen concerns (i.e., dust complaints, odor complaints, public health concerns, environmental justice areas, etc.)</t>
  </si>
  <si>
    <t>27 Responses</t>
  </si>
  <si>
    <t>10. If your state does not require air dispersion modeling for non-PSD sources, what other mechanisms are used to ensure that new emission sources will not cause or contribute to an exceedance of the NAAQS in the affected area?  Please explain:</t>
  </si>
  <si>
    <t>11. Please provide any additional information you would like to share with us:</t>
  </si>
  <si>
    <t>12. In case we have follow-up questions or need more information, please list the best person to contact about your modeling program (if different from the person listed above).</t>
  </si>
  <si>
    <t>DHEC 2434 (3/2012)</t>
  </si>
  <si>
    <t>Respondent #</t>
  </si>
  <si>
    <t>Response</t>
  </si>
  <si>
    <t>Done on a case-by-case basis, for toxics and criteria pollutants</t>
  </si>
  <si>
    <t>Only for toxics (HAPS) on minor sources; not for criteria pollutants</t>
  </si>
  <si>
    <t>All new or modified permits issued by the District require a evaluation for Toxic exposure. Those projects that trigger public notice require an Ambient Air Quality Analysis.</t>
  </si>
  <si>
    <t>None</t>
  </si>
  <si>
    <t>Currently we require modeling if a facility proposes an increase in emissions of over 10 tons per year. We have considered increasing that threshold to the significance levels.</t>
  </si>
  <si>
    <t>Some minor and temporary sources such as emergency and backup generators are exempt. Additionally, if the increased emissions are below the MDEQ modeling thresholds, moleding is unnecessary.</t>
  </si>
  <si>
    <t>District regulations require LAER for construction equipment due to PM10 non-attainment. If the potential emissions exceed 25 tons, modeling is required. The 25 tons is based on general permit policy that was developed from previous modeling analysis.</t>
  </si>
  <si>
    <t>Quarries (for PM10)and air toxics.</t>
  </si>
  <si>
    <t>If emergency engines/generators have operating restrictions of &lt;=500 hrs/year, or source has &lt;=1 tpy, 3tpy, 3 tpy, 5 &amp; 5 tpy for PM2.5, PM10, SO2, NO2 &amp; CO, RESPECTIVELY</t>
  </si>
  <si>
    <t>May be required in certain cases, for example, reducing stack height.</t>
  </si>
  <si>
    <t>With the exception of Electrical Generating Units (EGUs), which are specifically modeled in accordance with Agency policy.</t>
  </si>
  <si>
    <t>Our state rule requires an increment evaluation for all Section 6 permits. As such, the only exemptions would be for HAPs and CO. For HAPs and CO screen modeling is performed for minor source applications. If the screening analysis raises concerns, a refined air quality anlaysis is required.</t>
  </si>
  <si>
    <t>Modeling is the default requirement for sources that exceed given emission thresholds. However, the Department may waive modeling if there is reason to believe the source will not violate the air quality standards (e.g., a recent analysis with low impacts). Modeling is at Department discretion for asphalt plants, soil remediation units, rock crushers, incincerators and coal prep plants with PTE below the previously discussed emissions thresholds.</t>
  </si>
  <si>
    <t>Sources below the following modeling cutoff values are exempt from modeling (unless other extenuating circumstances exist): &lt;40TPY for SO2, &lt;25TPY for PM/PM10, &lt;100TPY for NO2, &lt;250TPY for CO</t>
  </si>
  <si>
    <t>NC has an Air Toxic's program that requires modeling for several toxic pollutants if the modification increased emissions above the TPPR. Also, on a case by case basis criteria pollutants will be modeled.</t>
  </si>
  <si>
    <t>If project has significant (PSD levels) new emissions, must model using formal guidance. If new project emissions &lt; significant for all pollutants, may require modeling.</t>
  </si>
  <si>
    <t>If the proposed emissions are not expected to cause or contribute to a violation of national or state ambient air quality standards.</t>
  </si>
  <si>
    <t>Modeling is required for sources with emissions greater than trigger levels (lb/hr, lb/day, or tpy)</t>
  </si>
  <si>
    <t>No modeling if the project is exempt from permitting and no modeling required if the emissions increase is below establish modeling thresholds</t>
  </si>
  <si>
    <t>we have used our judgment in certain situations based on low emission levels and type of pollutants involved to exempt an applicant from dispersion modeling. But mostly, we have required a modeling demonstration as part of an application for a construction permit.</t>
  </si>
  <si>
    <t>If emissions are insignificant</t>
  </si>
  <si>
    <t>We have General Construction Permits that do not require modeling. Sometime we waive modeling requirements if previous modeling demonstrated compliance and is still vallid.</t>
  </si>
  <si>
    <t>There are no modeling exemptions available.</t>
  </si>
  <si>
    <t>Not typically, outside of state air toxics requirements.</t>
  </si>
  <si>
    <t>The Iowa DNR requires dispersion modeling for non-PSD (both minor and major source) construction permits according to our Air Dispersion Modeling Applicability Procedures. This flow chart can be found in our “Air Dispersion Modeling Guidelines For Non-PSD, Pre-Construction Permit Applications” on our website at http://www.iowadnr.gov/portals/idnr/uploads/air/insidednr/dispmodel/modeling_guidelines.pdf. Modeling exemptions for specific types of emission sources are also addressed in this document in section 15.</t>
  </si>
  <si>
    <t>Done on a case-by-case basis and considers several factors</t>
  </si>
  <si>
    <t>we will once we update or regulations</t>
  </si>
  <si>
    <t>We model all against NAAQS when new emissions are above the established de minimis.</t>
  </si>
  <si>
    <t>Those projects that trigger public notice require an Ambient Air Quality Analysis.</t>
  </si>
  <si>
    <t>All</t>
  </si>
  <si>
    <t>By PSD sources I assume you mean federal major which for VT is triggered at 50 tpy due to our SIP. If the source will have greater than 10 tpy of emissions than they must do modeling for that pollutant. This is policy not regulation.</t>
  </si>
  <si>
    <t>Also refer to #2. In addition, some minor sources such as those that are temporally located are exempt on a case-by-case basis.</t>
  </si>
  <si>
    <t>See previous explanation.</t>
  </si>
  <si>
    <t>For major and synthetic minor sources, Nashville typically requires modeling of criteria pollutants to demonstrate compliance with the NAAQS.</t>
  </si>
  <si>
    <t>If minor source has 15 tpy for SO2, no2, pm10, co and 10 tpy for PM2.5</t>
  </si>
  <si>
    <t>We require Part 70 construction permits greater than 100 TPY to do modeling for those pollutants &gt; 100 TPY</t>
  </si>
  <si>
    <t>All of the pollutants noted. As noted previously, the Missouri air law requires the submittal of an increment evaluation. If a source is perfoming a refined increment review, we ask the applicant to submit modeling for each pollutant above the de minimis threshold. Basically, once a refined review is triggered, both NAAQS and increment reviews will be conducted.</t>
  </si>
  <si>
    <t>Minor source NSR modeling is generally limited to the triggered pollutants (with a couple of exceptions). However, we are still in the process of updating our regulations. 1-hour SO2 is in our regs and therefore, modeling could be required. PM-2.5 or 1-hr NO2 modeling are not yet required for minor sources, but a regulation change which would require this is currently out for public comment.</t>
  </si>
  <si>
    <t>Again, this is on a case-by-case basis determined by the engineer if emissions are substantial enough and if other sources are impacting the area.</t>
  </si>
  <si>
    <t>Modeling required for significant new potential (proposed permitted) emissions determined on a pollutant-by-pollutant basis.</t>
  </si>
  <si>
    <t>SO2, NO2, and PM2.5</t>
  </si>
  <si>
    <t>All that exceed trigger levels.</t>
  </si>
  <si>
    <t>permits require that a demonstration be provided showing that the modification does not cause or significantly contribute to a NAAQS violation</t>
  </si>
  <si>
    <t>Non-PSD soucces must demonstrate compliance with PM2.5 NAAQS.</t>
  </si>
  <si>
    <t>All criteria pollutants</t>
  </si>
  <si>
    <t>On a case-by-case basis.</t>
  </si>
  <si>
    <t>Performed 1-hour NO2 and PM2.5 modeling for a few projects. Some permits are issued, others are in process. No 1-hr SO2 modeling has been done to date.</t>
  </si>
  <si>
    <t>I work for a three-county local air agency; WA Dept of Ecology issues the major new source review/PSD permits in this state. (They would be better able to answer this question).</t>
  </si>
  <si>
    <t>NO2 - under review NO2, PM2.5 and SO2 - under review NO and PM2.5 - issued NO2 and PM2.5 - issued</t>
  </si>
  <si>
    <t>We do not do PSD at this time</t>
  </si>
  <si>
    <t>PM2.5 - multiple permits issued NO2 - multiple permits in process, some issued SO2 - WA has had a 1-hr SO2 limit for 25+ years.</t>
  </si>
  <si>
    <t>We issued a permit for a 32 MW wood fired power plant that looked at both NOx and SO2.</t>
  </si>
  <si>
    <t>We actually have a PSD/Title V application in house that is only major for GHG emissions. Modeling was required for all pollutants with a NAAQS because the facility will be located in a PSD increment area.</t>
  </si>
  <si>
    <t>PM2.5: Carbo Ceramics, Millen (Preliminary Determination Issued February, 2012) Chambers R&amp;B Landfill, Homer (under review) Effingham County Power LLC, Rincon (under review) Georgia Power Company - Mitchell Steam-Electric Generating Plant, Albany (permit issued 12/3/2010) Huber Engineered Wood,LLC, Commerce (permit issued 11/10/2011) Osceola Steel, Adel (permit issued 12/29/2010) PyraMax Ceramics, LLC, Wrens (permit issued 1/27/2012) 1-hour NO2: Effingham County Power LLC, Rincon (permit under review) Huber Engineered Wood, LLC, Commerce (permit issued 11/10/2011) PyraMax Ceramics, LLC, Wrens (permit issued 1/27/2012) 1-hr SO2: PyraMax Ceramics, LLC, Wrens (permit issued 1/27/2012)</t>
  </si>
  <si>
    <t>The same as in your question. All have been approved in the past year. There are one of two that are still pending</t>
  </si>
  <si>
    <t>No permits currently pending.</t>
  </si>
  <si>
    <t>All 3 pollutants. Several of these permits have been completed as of a year ago.</t>
  </si>
  <si>
    <t>PM2.5 and 1-hr NO2 were analyzed; temporary PSD/NSR permit was issued.</t>
  </si>
  <si>
    <t>SO2, NO2, PM2.5 all levels of statuses</t>
  </si>
  <si>
    <t>We have issued 2 PSD permits, both facilities agreed to model for all 3 pollutants listed.</t>
  </si>
  <si>
    <t>A PSD permit was recently issued for a cement kiln which needed to address the 1-hour NO2 standard. A PSD permit for a lime kiln is currently under remand (1-hour SO2, 1-hour NO2, and PM2.5 NAAQS). Several PSD permit reviews are currently being performed (1-hour SO2, 1-hour NO2, and PM2.5 NAAQS) and have not advanced to the stage of permit issuance.</t>
  </si>
  <si>
    <t>All 3 pollutants between various projects under PSD review (no one permit requires modeling for all 3 of these pollutants).</t>
  </si>
  <si>
    <t>Kentucky Division for Air Quality has issued 6 PSD permits that required at least a SILs analysis for PM2.5. To date, the Division has not issued a PSD permit demonstrating compliance with the new 1-hr SO2 and 1-hr NOx standards.</t>
  </si>
  <si>
    <t>All pollutants, permit issued.</t>
  </si>
  <si>
    <t>1-Hour NO2 and PM2.5. PSD permits were issued. We currently have one in-house 1-hour NO2 PSD permit under review.</t>
  </si>
  <si>
    <t>SO2, NO2, and PM2.5; issued and in-house</t>
  </si>
  <si>
    <t>Currently not delegated for PSD. However, have applications for PSD sources and may become delegated soon.</t>
  </si>
  <si>
    <t>We are processing some now, but none have been approved.</t>
  </si>
  <si>
    <t>New PSD major sources and major modifications must demonstrate compliance with the 1-hour standards as well as PM2.5 NAAQS.</t>
  </si>
  <si>
    <t>All criteria pollutants and averaging periods</t>
  </si>
  <si>
    <t>We have done 3 PSD permits requiring 1 hr NO2 analyses. They have been issue. We have done 2 PSD permits for 1 hour SO2. In both cases, they met the SIL and both permits have been issued. We have done 4 PSD permits for PM2.5. They have all been issued.</t>
  </si>
  <si>
    <t>Iowa has had two PSD projects that triggered PM2.5 review and one project that triggered a 1-hour NO2 review. Permits have been issued for these projects. We have numerous PSD projects that are expected within the next several months that will be triggering review of these NAAQS.</t>
  </si>
  <si>
    <t>We rerun to verify the results or correct errors. The amount of QA/QC varies by the project and current workload.</t>
  </si>
  <si>
    <t>Probably sometimes.</t>
  </si>
  <si>
    <t>Modeling manager makes a case by case decision whether to re-run the models based on a comparison of the modeled concentration to the SIL and the modeled concentration(cumulative) to the particular NAAQS and/or PSD Increment</t>
  </si>
  <si>
    <t>1. Air Quality Analysis Protocol 2. Review model inputs for conformity w/protocol 3. Confirm that model output demonstrates compliance with applicable NAAQS and increments.</t>
  </si>
  <si>
    <t>Generally we do not fully rerun the models due to resource limitations. But we have on occasion. Most often not.</t>
  </si>
  <si>
    <t>Data input and output files are submitted and verified by permitting staff.</t>
  </si>
  <si>
    <t>Rerunning models is decided on a case-by-case basis, depending in-part on how close the projected impact is to a NAAQS or increment.</t>
  </si>
  <si>
    <t>Generally, the review process involves "selective auditing", but can require completely rerunning the air quality analysis.</t>
  </si>
  <si>
    <t>"Sometimes" would be the best answer. We review their modeling output files and modeling report. We conduct sensitivity tests if we question select values or assumptions, or otherwise feel a rerun is warranted.</t>
  </si>
  <si>
    <t>Review all input, output and diagnostic files for all runs, may re-run if necessary, but not very often.</t>
  </si>
  <si>
    <t>Not everyone but many</t>
  </si>
  <si>
    <t>whether we rerun the model depends on the magnitude of the project and emissions, and the potentially exposed public</t>
  </si>
  <si>
    <t>sometimes. We can get data inputs from permit applicant to run model and compair results. We also review data inputs themselves to make sure they are appropriate.</t>
  </si>
  <si>
    <t>Typically we do not rerun the models. We review the model input files and verify that all model inputs are correct.</t>
  </si>
  <si>
    <t>Modeler use discretion on which pollutants to rerun.</t>
  </si>
  <si>
    <t>We occasionally do this but not very often.</t>
  </si>
  <si>
    <t>As far as I am aware, we have not done that to this point.</t>
  </si>
  <si>
    <t>done on a case-by-case basis.</t>
  </si>
  <si>
    <t>If required by other departments such as our Compliance for a variance</t>
  </si>
  <si>
    <t>Odors: Estimate emission rate, if possible, and model w/steady-state Gaussian plume model. Otherwise, assume unit emission rate and try to assess possibility of impact. Other: Mercury deposition analysis using steady-state Gaussian plume model for Water Quality Program to compare with water-body sampling.</t>
  </si>
  <si>
    <t>On rare occasion we get drawn into some of these cases and have even had to do ambient monitoring but we try to avoid it.</t>
  </si>
  <si>
    <t>If part of an EIS or EA.</t>
  </si>
  <si>
    <t>We have run toxic screen models for areas with lead contamination.</t>
  </si>
  <si>
    <t>When concerns arise as to the potential impact of an existing or proposed source, we conduct modeling using SCREEN or AERMOD to determine the extent of the possible impact. We have not used this for dust or odor complaints, but have used modeling to address public health concerns.</t>
  </si>
  <si>
    <t>However, only in environmental justice areas such as urban centers!</t>
  </si>
  <si>
    <t>In limited situtations we have conducted modeling to predict fugitive dust impacts.</t>
  </si>
  <si>
    <t>If there are complaints, we may model to a degree, but this is unusual.</t>
  </si>
  <si>
    <t>sometimes we will use modeling for these situations</t>
  </si>
  <si>
    <t>We may require modeling on a case by case basis.</t>
  </si>
  <si>
    <t>It is not a requirement, but in the interest of addressing public health concerns, modeling may be performed. The modeling would follow standard practices, and generally vary only in the averaging time to be considered (e.g. instantaneous concentration versus NAAQS, IDLH, etc.)</t>
  </si>
  <si>
    <t>We typically do a simple screen model for auto body shop spray booths in residential areas (we have a lot on Philadelphia) to check for possible odor issues. we will also do screen models if tehre are odor violations and it appears the facility will need to raise their stack.</t>
  </si>
  <si>
    <t>In answering #8, the Division does not require the dispersion modeling for air toxics; however, the emissions data and or air quality data necessary to make a determination that the air toxic emissions do not pose a danger to human health and the environment is required for the Cabinet to evaluate the air quality impact of those toxic emissions.</t>
  </si>
  <si>
    <t>Modeling procedures are held to the same standards as sources applying for a permit action.</t>
  </si>
  <si>
    <t>This will be accomplished if management feels there is a concern and if the area has had issues before.</t>
  </si>
  <si>
    <t>We have latitude to require if circumstances dictate.</t>
  </si>
  <si>
    <t>Our procedure will require screening modeling analysis utilizing the AERSCREEN model followed by refined modeling assessment, if needed, with the AERMOD model application.</t>
  </si>
  <si>
    <t>Air dispersion modeling may be conducted if sufficient data is available.</t>
  </si>
  <si>
    <t>Not required but may be addressed on a case-by-case basis.</t>
  </si>
  <si>
    <t>this is not often performed, but DEQ will model depending on the nature of the citizen concern</t>
  </si>
  <si>
    <t>We don't "require" modeling to address citizen concerns. We have broad discretionary authority to request modeling. Citizen concerns is one reason we MAY request modeling.</t>
  </si>
  <si>
    <t>Once a while we do modeling for dust complaints.</t>
  </si>
  <si>
    <t>We respond to significant public comment when necessary and directed by management.</t>
  </si>
  <si>
    <t>Not applicable. It is important to note that de minimis levels are needed for any program (permitting, modeling, etc...) to manage the workload. Modeling is not performed for all permits.</t>
  </si>
  <si>
    <t>we require modeling</t>
  </si>
  <si>
    <t>na</t>
  </si>
  <si>
    <t>Unknown</t>
  </si>
  <si>
    <t>?</t>
  </si>
  <si>
    <t>Require at least a screening run with aggregated emission points.</t>
  </si>
  <si>
    <t>We do model for minor sources but we also require minimum stack heights and no raincaps.</t>
  </si>
  <si>
    <t>Source emissions tracking.</t>
  </si>
  <si>
    <t>Most of our sources (1300 total in the county - gas stations, body shops, dry cleaners, boilers, aggregate and concrete batch plants, etc.) are non-PSD, small sources with emissions less that 10 tons. Emissions have been modeled in the past with a close point of public access to establish a threshold of 25 tons per year, which does have the potential to approach the NAAQS.</t>
  </si>
  <si>
    <t>We currently have no de minimis level of permitting. We are working on having a de minimis level of 5 tpy for criteria pollutants.</t>
  </si>
  <si>
    <t>N/A</t>
  </si>
  <si>
    <t>none</t>
  </si>
  <si>
    <t>We have minor non-PSD permit screening/refined modeling requirements for those sources that have emissions of &gt;=15tpy, 10TPY for PM2.5.</t>
  </si>
  <si>
    <t>Generally, we inform people that our SIP approved regulations are sufficient to address NAAQS ambient impacts statewide.</t>
  </si>
  <si>
    <t>We take into account at regional emission trends in the area, and monitoring data. Often times the applicant voluntarily submits sir dispersion modeling anyway.</t>
  </si>
  <si>
    <t>We currently require modeling for minor sources; see question 2.</t>
  </si>
  <si>
    <t>Monitoring</t>
  </si>
  <si>
    <t>Sources included in PSD emissions inventories are evaluated against the NAAQS and PSD Increments.</t>
  </si>
  <si>
    <t>monitoring network and modeling associated with PSD sources.</t>
  </si>
  <si>
    <t>Though not requiring the submittal of an air quality analysis, the Agency may independently perform modeling internally. Ongoing SIP development efforts provide an opportunity for assuring NAAQS protection with new, non-PSD emission sources. Though used infrequently, monitoring may be an appropriate means for assuring compliance with the NAAQS.</t>
  </si>
  <si>
    <t>For the most part, we don't require models, but wuill occasionally run screen models on a case-by case basis if there might be odor or pollutant concerns. Usually it' sjust a screen model, although we have required more detailed models if necessary (ex. NO2 modeling from a telecom center with 30+ emergency generators, many ver y large.</t>
  </si>
  <si>
    <t>N/A. Missouri requires modeling for non-PSD sources.</t>
  </si>
  <si>
    <t>Any SIP regulation, including NSPS and NESHAP, along with state-only regulations to control criteria pollutants.</t>
  </si>
  <si>
    <t>We require modeling for non-PSD sources</t>
  </si>
  <si>
    <t>When we don't require it, it's on account of project info that gives basis for judgement call. Usually we just require it.</t>
  </si>
  <si>
    <t>We keep track of our NAAQS attainment and non-attainment areas through our Monitoring Data Program.</t>
  </si>
  <si>
    <t>Air dispersion modeling is submitted or performed for non-PSD sources unless impacts are not expected to cause or contribute to the violation of the NAAQS or state standards.</t>
  </si>
  <si>
    <t>Required for non-PSD if triggered.</t>
  </si>
  <si>
    <t>Minor source modeling is required for all non-PSD new sources having emissions above established thresholds. There are no other direct measure to assure NAAQS compliance in areas surrounding sources.</t>
  </si>
  <si>
    <t>We have monitors in place to determine ambient concentrations. The monitors are placed in areas in order to try and determine ambient concentrations where it is likely to be highest.</t>
  </si>
  <si>
    <t>Mostly we have required a modeling demonstration as part of an application.</t>
  </si>
  <si>
    <t>n/a</t>
  </si>
  <si>
    <t>We do require</t>
  </si>
  <si>
    <t>Not applicable.</t>
  </si>
  <si>
    <t>We typically assume that SIP or federal emission standards are protective.</t>
  </si>
  <si>
    <t>NA</t>
  </si>
  <si>
    <t>Please feel free to contact me if you wish to discuss further.</t>
  </si>
  <si>
    <t>http://www.adeq.state.ar.us/air/branch_permits/pdfs/screening_modeling_protocol.pdf</t>
  </si>
  <si>
    <t>http://www.valleyair.org/busind/pto/Tox_Resources/AirQualityMonitoring.htm We do have modeling guidance document for NO2/SO2/ and PM2.5 see the bottom of the above link.</t>
  </si>
  <si>
    <t>Currently have background concentrations of PM2.5 (24-hr), NO2 (1-hr and annual), and ozone on a 12-km grid developed using the model/monitor fusion capability in BenMAP. 1-hr SO2 on a 4 km grid will be developed next year.</t>
  </si>
  <si>
    <t>Nothing</t>
  </si>
  <si>
    <t>The MDEQ modeler and permitters work extremely closely together to ensure compliance with all NAAQS and MAAQS.</t>
  </si>
  <si>
    <t>We issue our permits on an annual basis so by monitoring the actual emissions, we can request modeling if increased emissions appear to be approaching the 25 ton trigger.</t>
  </si>
  <si>
    <t>Our regulations are very strict and we permit almost everything. We have issued a LOT of permits to parts washers with secondary reservoirs. We spent years implementing a local risk based toxics program that requires modeling instead of renewing Title V operating permits. We are working on adjusting our regulations to appropriately permits sources that will actually affect air quality</t>
  </si>
  <si>
    <t>The use of SCREEN3 is allowed for Air Toxics Modeling. ISC or AERMOD is required if SCREEN3 indicates an exceedance of Georgia EPD's Maximum Ground Level Concentration (MGLC) as determined by EPD guidance document. ISC or AERMOD for PM10 NAAQS is required for new quarries and certain modifications to existing quarries. All PSD permits, preliminary determinatins, and final determinations can be found at: http://www.georgiaair.org/airpermit/html/permits/psd/main.html.</t>
  </si>
  <si>
    <t>Work with your stakeholders and be open about the 1-hr SO2 &amp; 1-hr NO2 standards. We all have to adapt to the new standards and continue to strive for compliance during the new few years.</t>
  </si>
  <si>
    <t>WV recognized in the late 1970s, early 1980s that dispersion modeling in complex terrain (which is dominate in our state) would dramatically overestimate ambient impacts. Consequently,it was decided not to require routine modeling of sources.</t>
  </si>
  <si>
    <t>In our technical evaluations, we often include regional emission trends, which have steadily decreased over the past 15 years.</t>
  </si>
  <si>
    <t>We're in the process of revising our State rules, and once this is finalized (hopefully this summer), the answer to question 5 will be "yes". However, we're concurrently working on modeling exemption thresholds for non-PSD sources. These thresholds will be based upon emissions (i.e. sources with emissions below thresholds will be exempt) and/or fuel type (e.g. natural gas).</t>
  </si>
  <si>
    <t>Mandatory Question</t>
  </si>
  <si>
    <t>Ques. 8- While modeling is not required by law, it is routinely done. Also, it is expected that MACT standards will greatly reduce air toxic emissions. Ques.2&amp;9 ADEM has the authority to require a modeling analysis at any time and while this does not necessarily occur routinely in special cases, for example terrain issues, modeling has been completed.</t>
  </si>
  <si>
    <t>We are interested in the results from your survey.</t>
  </si>
  <si>
    <t>Statewide modeling for the 1-hour SO2 infrastructure and nonattainment area SIPs should help immensely in addressing "unknown" current NAAQS compliance and future compliance of newly permitted non-PSD sources.</t>
  </si>
  <si>
    <t>Please note this is just for Philadlephia. PA DEP may have some differences.</t>
  </si>
  <si>
    <t>I am available Monday-Thursday from 6:00-5:00 Central Standard Time.</t>
  </si>
  <si>
    <t>While most Title V permit actions do not require modeling, Title V actions for transportable sources may lead to a modeling analysis in order to meet item (13) of the "applicable requirements" in 40 CFR 71.2</t>
  </si>
  <si>
    <t>The Division is concerned with the hybrid approach using both monitoring data and modeling demonstrations to deem an area in compliance with the NAAQS.</t>
  </si>
  <si>
    <t>None.</t>
  </si>
  <si>
    <t>Permit regulations require compliance with NAAQS and put burden on applicant to prove project will not cause/contribute to air pollution. Toxics only required for PSD projects and thermal treatment of wastes. See http://www.mass.gov/dep/air/laws/modguid.pdf</t>
  </si>
  <si>
    <t>The TN air toxics modeling assessment is only required for emissions of hydrogen chloride (HCl) and hydrogen fluoride (HF). Dispersion modeling assessments for other toxic pollutant emissions are addressed on a case-by-case basis.</t>
  </si>
  <si>
    <t>Toxic modeling also based on trigger levels for new and modified sources. Existing sources may have to model based on state law.</t>
  </si>
  <si>
    <t>Idaho allows minor source applicants to use PVMRM for 1-hour NO2.</t>
  </si>
  <si>
    <t>Air Toxics Analysis: The ADEQ has established the Arizona Ambient Air Concentrations (AAC)in support the state toxics program. Only facilities located within 2 miles of learning sites are required to document compliance with the AACs.</t>
  </si>
  <si>
    <t>Regarding question 2, we have permit exemptions that we don't perform modeling for.</t>
  </si>
  <si>
    <t>Mike Kiss,michael.kiss@deq.virginia.gov,804-698-4460</t>
  </si>
  <si>
    <t>same,same,same</t>
  </si>
  <si>
    <t>na,na,na</t>
  </si>
  <si>
    <t>Jimmy Johnston,jimmy.johnston@dnr.state.ga.us,404-363-7000</t>
  </si>
  <si>
    <t>Leland villalvazo,leland.villalvazo@valleyair.org,559-230-5881</t>
  </si>
  <si>
    <t>same as #1 above,clint@ecy.wa.gov,360.407.6815</t>
  </si>
  <si>
    <t>Doug Elliott,doug.elliott@state.vt.us,8022413845</t>
  </si>
  <si>
    <t>Cyra Cain,ccain@mt.gov,406.444.3441</t>
  </si>
  <si>
    <t>Charlene Albee,calbee@washoecounty.us,775-784-7211</t>
  </si>
  <si>
    <t>Paul Aud,paul.aud@louisvilleky.gov,502-574-7234</t>
  </si>
  <si>
    <t>Eric McCann,eric.mccann@nashville.gov,615-340-5653</t>
  </si>
  <si>
    <t>James P. Johnston,jimmy.johnston@gaepd.org,404-363-7014</t>
  </si>
  <si>
    <t>Sam Sampieri,samuel.sampieri@ct.gov,860.424.3743</t>
  </si>
  <si>
    <t>John Benedict,john.a.benedict@wv.gov,304.926.0462</t>
  </si>
  <si>
    <t>Melody Lovin,melody.lovin@dep.state.fl.us,850-717-9084</t>
  </si>
  <si>
    <t>David Healy,david.healy@des.nh.gov,(603) 271-0871</t>
  </si>
  <si>
    <t>Same,Same,Same</t>
  </si>
  <si>
    <t>Leigh Bacon,lbb@adem.state.al.us,334-270-5689</t>
  </si>
  <si>
    <t>Mindy Bowman,mbowman@kdheks.gov,785-296-6421</t>
  </si>
  <si>
    <t>Matthew Will,Matt.Will@illinois.gov,217-524-4789</t>
  </si>
  <si>
    <t>Ed Wiener,edward.wiener@phila.gov,215-685-9426</t>
  </si>
  <si>
    <t>Dawn Froning,dawn.froning@mo.dnr.gov,(573)526-2097</t>
  </si>
  <si>
    <t>Alan Schuler,alan.schuler@alaska.gov,907-465-5112</t>
  </si>
  <si>
    <t>Sean Alteri ,sean.alteri@ky.gov,502-564-3999</t>
  </si>
  <si>
    <t>Kevin J Ostrowski,kevin.ostrowski@maine.gov,207-287-2424</t>
  </si>
  <si>
    <t>Tom anderson ,tom. anderson@denr.gov,919-707-8723</t>
  </si>
  <si>
    <t>Marc Wolman,marc.wolman@state.ma.us,617-292-5515</t>
  </si>
  <si>
    <t>Haidar Alrawi,Haidar.Alrawi@tn.gov,615-532-0578</t>
  </si>
  <si>
    <t>Doris Jung,doris.jung@state.co.us,303.692.3192</t>
  </si>
  <si>
    <t>Ralph DeSiena,ralph.desiena@sdcounty.ca.gov,858-586-2773</t>
  </si>
  <si>
    <t>Kevin Schilling,kevin.schilling@deq.idaho.gov,208 373-0112</t>
  </si>
  <si>
    <t>Donald Trahan,Donald.Trahan@la.gov,225 219-3985</t>
  </si>
  <si>
    <t>Feng Mao,mf8@azdeq.gov,602-771-4529</t>
  </si>
  <si>
    <t>Jim Haywood,haywoodj@michigan.gov,517 241-7478</t>
  </si>
  <si>
    <t>Eric Peters,eric.peters@state.nm.us,5054764327</t>
  </si>
  <si>
    <t>Gail Good,gail.good@wisconsin.gov,6082670803</t>
  </si>
  <si>
    <t>Chuck Buckler,chuck.buckler@ncdenr.gov,(919) 707-8733</t>
  </si>
  <si>
    <t>Lori Hanson,lori.hanson@dnr.iowa.gov,515-281-8911</t>
  </si>
  <si>
    <t xml:space="preserve">Question 12: In case we have follow-up questions or need more information, please list the best person to contact </t>
  </si>
  <si>
    <t>about your modeling program (if different from the person listed above).</t>
  </si>
  <si>
    <t>AAAAAHfee38=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</si>
</sst>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1"/>
      <color theme="1"/>
      <name val="Calibri"/>
      <family val="2"/>
    </font>
    <font>
      <sz val="11"/>
      <color indexed="8"/>
      <name val="Calibri"/>
      <family val="2"/>
    </font>
    <font>
      <sz val="10"/>
      <color indexed="8"/>
      <name val="Calibri"/>
      <family val="2"/>
    </font>
    <font>
      <b/>
      <sz val="13.5"/>
      <color indexed="8"/>
      <name val="Calibri"/>
      <family val="2"/>
    </font>
    <font>
      <b/>
      <sz val="8"/>
      <color indexed="8"/>
      <name val="Arial"/>
      <family val="2"/>
    </font>
    <font>
      <sz val="8"/>
      <color indexed="8"/>
      <name val="Arial"/>
      <family val="2"/>
    </font>
    <font>
      <u val="single"/>
      <sz val="11"/>
      <color indexed="2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55"/>
      </top>
      <bottom style="thin">
        <color indexed="55"/>
      </bottom>
    </border>
    <border>
      <left>
        <color indexed="63"/>
      </left>
      <right style="thin">
        <color indexed="9"/>
      </right>
      <top style="thin">
        <color indexed="55"/>
      </top>
      <bottom style="thin">
        <color indexed="55"/>
      </bottom>
    </border>
    <border>
      <left style="thin">
        <color indexed="9"/>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9"/>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3" borderId="0" applyNumberFormat="0" applyBorder="0" applyAlignment="0" applyProtection="0"/>
    <xf numFmtId="0" fontId="25" fillId="22" borderId="1" applyNumberFormat="0" applyAlignment="0" applyProtection="0"/>
    <xf numFmtId="0" fontId="26" fillId="2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28"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30" fillId="24" borderId="1" applyNumberFormat="0" applyAlignment="0" applyProtection="0"/>
    <xf numFmtId="0" fontId="31" fillId="0" borderId="6" applyNumberFormat="0" applyFill="0" applyAlignment="0" applyProtection="0"/>
    <xf numFmtId="0" fontId="32" fillId="25" borderId="0" applyNumberFormat="0" applyBorder="0" applyAlignment="0" applyProtection="0"/>
    <xf numFmtId="0" fontId="1" fillId="26" borderId="7" applyNumberFormat="0" applyFont="0" applyAlignment="0" applyProtection="0"/>
    <xf numFmtId="0" fontId="33" fillId="22"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Font="1" applyAlignment="1">
      <alignment/>
    </xf>
    <xf numFmtId="0" fontId="3" fillId="0" borderId="0" xfId="0" applyFont="1" applyAlignment="1">
      <alignment/>
    </xf>
    <xf numFmtId="0" fontId="2" fillId="0" borderId="0" xfId="0" applyFont="1" applyAlignment="1">
      <alignment horizontal="left" indent="1"/>
    </xf>
    <xf numFmtId="0" fontId="0" fillId="0" borderId="0" xfId="0" applyAlignment="1">
      <alignment wrapText="1"/>
    </xf>
    <xf numFmtId="0" fontId="5" fillId="0" borderId="10" xfId="0" applyFont="1" applyBorder="1" applyAlignment="1">
      <alignment wrapText="1"/>
    </xf>
    <xf numFmtId="0" fontId="5" fillId="0" borderId="11" xfId="0" applyFont="1" applyBorder="1" applyAlignment="1">
      <alignment wrapText="1"/>
    </xf>
    <xf numFmtId="0" fontId="5" fillId="0" borderId="10" xfId="0" applyFont="1" applyBorder="1" applyAlignment="1">
      <alignment horizontal="center" wrapText="1"/>
    </xf>
    <xf numFmtId="9" fontId="5" fillId="0" borderId="12" xfId="0" applyNumberFormat="1" applyFont="1" applyBorder="1" applyAlignment="1">
      <alignment horizontal="center" wrapText="1"/>
    </xf>
    <xf numFmtId="0" fontId="0" fillId="0" borderId="13" xfId="0" applyBorder="1" applyAlignment="1">
      <alignment/>
    </xf>
    <xf numFmtId="0" fontId="0" fillId="0" borderId="14" xfId="0" applyBorder="1" applyAlignment="1">
      <alignment/>
    </xf>
    <xf numFmtId="0" fontId="4" fillId="4" borderId="12" xfId="0" applyFont="1" applyFill="1" applyBorder="1" applyAlignment="1">
      <alignment vertical="center" wrapText="1"/>
    </xf>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xf>
    <xf numFmtId="0" fontId="4" fillId="0" borderId="15" xfId="0" applyFont="1" applyBorder="1" applyAlignment="1">
      <alignment wrapText="1"/>
    </xf>
    <xf numFmtId="0" fontId="4" fillId="0" borderId="11" xfId="0" applyFont="1" applyBorder="1" applyAlignment="1">
      <alignment wrapText="1"/>
    </xf>
    <xf numFmtId="0" fontId="5" fillId="0" borderId="15" xfId="0" applyFont="1" applyBorder="1" applyAlignment="1">
      <alignment wrapText="1"/>
    </xf>
    <xf numFmtId="0" fontId="5" fillId="0" borderId="11" xfId="0" applyFont="1" applyBorder="1" applyAlignment="1">
      <alignment wrapText="1"/>
    </xf>
    <xf numFmtId="0" fontId="4" fillId="4" borderId="15" xfId="0" applyFont="1" applyFill="1" applyBorder="1" applyAlignment="1">
      <alignment vertical="center" wrapText="1"/>
    </xf>
    <xf numFmtId="0" fontId="4" fillId="4" borderId="16" xfId="0" applyFont="1" applyFill="1" applyBorder="1" applyAlignment="1">
      <alignment vertical="center" wrapText="1"/>
    </xf>
    <xf numFmtId="0" fontId="4" fillId="4" borderId="17" xfId="0" applyFont="1" applyFill="1" applyBorder="1" applyAlignment="1">
      <alignment vertical="center" wrapText="1"/>
    </xf>
    <xf numFmtId="0" fontId="5" fillId="0" borderId="16" xfId="0" applyFont="1" applyBorder="1" applyAlignment="1">
      <alignment wrapText="1"/>
    </xf>
    <xf numFmtId="0" fontId="5" fillId="0" borderId="17" xfId="0" applyFont="1" applyBorder="1" applyAlignment="1">
      <alignment wrapText="1"/>
    </xf>
    <xf numFmtId="0" fontId="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AD2"/>
      <rgbColor rgb="00EBE6F2"/>
      <rgbColor rgb="0000FFFF"/>
      <rgbColor rgb="00800000"/>
      <rgbColor rgb="00008000"/>
      <rgbColor rgb="00000080"/>
      <rgbColor rgb="00808000"/>
      <rgbColor rgb="00660066"/>
      <rgbColor rgb="00008080"/>
      <rgbColor rgb="00EFEFE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3EDFB"/>
      <rgbColor rgb="00EAF2ED"/>
      <rgbColor rgb="00FCF3E0"/>
      <rgbColor rgb="00CEDFF7"/>
      <rgbColor rgb="00F4F1F8"/>
      <rgbColor rgb="00CC99FF"/>
      <rgbColor rgb="00FFCC99"/>
      <rgbColor rgb="003366FF"/>
      <rgbColor rgb="0033CCCC"/>
      <rgbColor rgb="00D6E6DC"/>
      <rgbColor rgb="00F8E7BE"/>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D333"/>
  <sheetViews>
    <sheetView showGridLines="0" tabSelected="1" zoomScalePageLayoutView="0" workbookViewId="0" topLeftCell="A288">
      <selection activeCell="A1" sqref="A1"/>
    </sheetView>
  </sheetViews>
  <sheetFormatPr defaultColWidth="9.140625" defaultRowHeight="15"/>
  <cols>
    <col min="1" max="1" width="24.57421875" style="0" customWidth="1"/>
    <col min="2" max="2" width="36.57421875" style="0" bestFit="1" customWidth="1"/>
    <col min="3" max="3" width="4.140625" style="0" customWidth="1"/>
    <col min="4" max="4" width="7.7109375" style="0" customWidth="1"/>
  </cols>
  <sheetData>
    <row r="1" ht="18">
      <c r="A1" s="1" t="s">
        <v>0</v>
      </c>
    </row>
    <row r="3" ht="15">
      <c r="A3" s="2" t="s">
        <v>1</v>
      </c>
    </row>
    <row r="4" ht="15">
      <c r="A4" s="2" t="s">
        <v>2</v>
      </c>
    </row>
    <row r="5" ht="15">
      <c r="A5" s="2" t="s">
        <v>3</v>
      </c>
    </row>
    <row r="6" ht="15">
      <c r="A6" s="2" t="s">
        <v>4</v>
      </c>
    </row>
    <row r="8" spans="1:4" ht="60" customHeight="1">
      <c r="A8" s="18" t="s">
        <v>5</v>
      </c>
      <c r="B8" s="19"/>
      <c r="C8" s="19"/>
      <c r="D8" s="20"/>
    </row>
    <row r="9" spans="1:4" ht="15">
      <c r="A9" s="16" t="s">
        <v>6</v>
      </c>
      <c r="B9" s="21"/>
      <c r="C9" s="21"/>
      <c r="D9" s="22"/>
    </row>
    <row r="12" spans="1:4" ht="60" customHeight="1">
      <c r="A12" s="18" t="s">
        <v>7</v>
      </c>
      <c r="B12" s="19"/>
      <c r="C12" s="19"/>
      <c r="D12" s="20"/>
    </row>
    <row r="13" spans="1:4" ht="15">
      <c r="A13" s="4" t="s">
        <v>8</v>
      </c>
      <c r="B13" s="5"/>
      <c r="C13" s="6">
        <v>23</v>
      </c>
      <c r="D13" s="7">
        <v>0.61</v>
      </c>
    </row>
    <row r="14" spans="1:4" ht="15">
      <c r="A14" s="4" t="s">
        <v>9</v>
      </c>
      <c r="B14" s="5"/>
      <c r="C14" s="6">
        <v>15</v>
      </c>
      <c r="D14" s="7">
        <v>0.39</v>
      </c>
    </row>
    <row r="15" spans="1:4" ht="15">
      <c r="A15" s="14" t="s">
        <v>10</v>
      </c>
      <c r="B15" s="15"/>
      <c r="C15" s="6">
        <v>38</v>
      </c>
      <c r="D15" s="7">
        <v>1</v>
      </c>
    </row>
    <row r="16" spans="1:4" ht="15">
      <c r="A16" s="16" t="s">
        <v>11</v>
      </c>
      <c r="B16" s="17"/>
      <c r="C16" s="8"/>
      <c r="D16" s="9"/>
    </row>
    <row r="19" spans="1:4" ht="60" customHeight="1">
      <c r="A19" s="18" t="s">
        <v>12</v>
      </c>
      <c r="B19" s="19"/>
      <c r="C19" s="19"/>
      <c r="D19" s="20"/>
    </row>
    <row r="20" spans="1:4" ht="15">
      <c r="A20" s="4" t="s">
        <v>8</v>
      </c>
      <c r="B20" s="5"/>
      <c r="C20" s="6">
        <v>15</v>
      </c>
      <c r="D20" s="7">
        <v>0.39</v>
      </c>
    </row>
    <row r="21" spans="1:4" ht="15">
      <c r="A21" s="4" t="s">
        <v>9</v>
      </c>
      <c r="B21" s="5"/>
      <c r="C21" s="6">
        <v>23</v>
      </c>
      <c r="D21" s="7">
        <v>0.61</v>
      </c>
    </row>
    <row r="22" spans="1:4" ht="15">
      <c r="A22" s="14" t="s">
        <v>10</v>
      </c>
      <c r="B22" s="15"/>
      <c r="C22" s="6">
        <v>38</v>
      </c>
      <c r="D22" s="7">
        <v>1</v>
      </c>
    </row>
    <row r="25" spans="1:4" ht="60" customHeight="1">
      <c r="A25" s="18" t="s">
        <v>13</v>
      </c>
      <c r="B25" s="19"/>
      <c r="C25" s="19"/>
      <c r="D25" s="20"/>
    </row>
    <row r="26" spans="1:4" ht="15">
      <c r="A26" s="4" t="s">
        <v>8</v>
      </c>
      <c r="B26" s="5"/>
      <c r="C26" s="6">
        <v>6</v>
      </c>
      <c r="D26" s="7">
        <v>0.16</v>
      </c>
    </row>
    <row r="27" spans="1:4" ht="15">
      <c r="A27" s="4" t="s">
        <v>9</v>
      </c>
      <c r="B27" s="5"/>
      <c r="C27" s="6">
        <v>32</v>
      </c>
      <c r="D27" s="7">
        <v>0.84</v>
      </c>
    </row>
    <row r="28" spans="1:4" ht="15">
      <c r="A28" s="14" t="s">
        <v>10</v>
      </c>
      <c r="B28" s="15"/>
      <c r="C28" s="6">
        <v>38</v>
      </c>
      <c r="D28" s="7">
        <v>1</v>
      </c>
    </row>
    <row r="31" spans="1:4" ht="60" customHeight="1">
      <c r="A31" s="18" t="s">
        <v>14</v>
      </c>
      <c r="B31" s="19"/>
      <c r="C31" s="19"/>
      <c r="D31" s="20"/>
    </row>
    <row r="32" spans="1:4" ht="15">
      <c r="A32" s="4" t="s">
        <v>8</v>
      </c>
      <c r="B32" s="5"/>
      <c r="C32" s="6">
        <v>20</v>
      </c>
      <c r="D32" s="7">
        <v>0.53</v>
      </c>
    </row>
    <row r="33" spans="1:4" ht="15">
      <c r="A33" s="4" t="s">
        <v>9</v>
      </c>
      <c r="B33" s="5"/>
      <c r="C33" s="6">
        <v>18</v>
      </c>
      <c r="D33" s="7">
        <v>0.47</v>
      </c>
    </row>
    <row r="34" spans="1:4" ht="15">
      <c r="A34" s="14" t="s">
        <v>10</v>
      </c>
      <c r="B34" s="15"/>
      <c r="C34" s="6">
        <v>38</v>
      </c>
      <c r="D34" s="7">
        <v>1</v>
      </c>
    </row>
    <row r="35" spans="1:4" ht="15">
      <c r="A35" s="16" t="s">
        <v>15</v>
      </c>
      <c r="B35" s="17"/>
      <c r="C35" s="8"/>
      <c r="D35" s="9"/>
    </row>
    <row r="38" spans="1:4" ht="60" customHeight="1">
      <c r="A38" s="18" t="s">
        <v>16</v>
      </c>
      <c r="B38" s="19"/>
      <c r="C38" s="19"/>
      <c r="D38" s="20"/>
    </row>
    <row r="39" spans="1:4" ht="15">
      <c r="A39" s="4" t="s">
        <v>8</v>
      </c>
      <c r="B39" s="5"/>
      <c r="C39" s="6">
        <v>25</v>
      </c>
      <c r="D39" s="7">
        <v>0.66</v>
      </c>
    </row>
    <row r="40" spans="1:4" ht="15">
      <c r="A40" s="4" t="s">
        <v>9</v>
      </c>
      <c r="B40" s="5"/>
      <c r="C40" s="6">
        <v>13</v>
      </c>
      <c r="D40" s="7">
        <v>0.34</v>
      </c>
    </row>
    <row r="41" spans="1:4" ht="15">
      <c r="A41" s="14" t="s">
        <v>10</v>
      </c>
      <c r="B41" s="15"/>
      <c r="C41" s="6">
        <v>38</v>
      </c>
      <c r="D41" s="7">
        <v>1</v>
      </c>
    </row>
    <row r="42" spans="1:4" ht="15">
      <c r="A42" s="16" t="s">
        <v>17</v>
      </c>
      <c r="B42" s="17"/>
      <c r="C42" s="8"/>
      <c r="D42" s="9"/>
    </row>
    <row r="45" spans="1:4" ht="60" customHeight="1">
      <c r="A45" s="18" t="s">
        <v>18</v>
      </c>
      <c r="B45" s="19"/>
      <c r="C45" s="19"/>
      <c r="D45" s="20"/>
    </row>
    <row r="46" spans="1:4" ht="15">
      <c r="A46" s="4" t="s">
        <v>8</v>
      </c>
      <c r="B46" s="5"/>
      <c r="C46" s="6">
        <v>29</v>
      </c>
      <c r="D46" s="7">
        <v>0.76</v>
      </c>
    </row>
    <row r="47" spans="1:4" ht="15">
      <c r="A47" s="4" t="s">
        <v>9</v>
      </c>
      <c r="B47" s="5"/>
      <c r="C47" s="6">
        <v>9</v>
      </c>
      <c r="D47" s="7">
        <v>0.24</v>
      </c>
    </row>
    <row r="48" spans="1:4" ht="15">
      <c r="A48" s="14" t="s">
        <v>10</v>
      </c>
      <c r="B48" s="15"/>
      <c r="C48" s="6">
        <v>38</v>
      </c>
      <c r="D48" s="7">
        <v>1</v>
      </c>
    </row>
    <row r="49" spans="1:4" ht="15">
      <c r="A49" s="16" t="s">
        <v>19</v>
      </c>
      <c r="B49" s="17"/>
      <c r="C49" s="8"/>
      <c r="D49" s="9"/>
    </row>
    <row r="52" spans="1:4" ht="60" customHeight="1">
      <c r="A52" s="18" t="s">
        <v>20</v>
      </c>
      <c r="B52" s="19"/>
      <c r="C52" s="19"/>
      <c r="D52" s="20"/>
    </row>
    <row r="53" spans="1:4" ht="15">
      <c r="A53" s="4" t="s">
        <v>8</v>
      </c>
      <c r="B53" s="5"/>
      <c r="C53" s="6">
        <v>22</v>
      </c>
      <c r="D53" s="7">
        <v>0.58</v>
      </c>
    </row>
    <row r="54" spans="1:4" ht="15">
      <c r="A54" s="4" t="s">
        <v>9</v>
      </c>
      <c r="B54" s="5"/>
      <c r="C54" s="6">
        <v>16</v>
      </c>
      <c r="D54" s="7">
        <v>0.42</v>
      </c>
    </row>
    <row r="55" spans="1:4" ht="15">
      <c r="A55" s="14" t="s">
        <v>10</v>
      </c>
      <c r="B55" s="15"/>
      <c r="C55" s="6">
        <v>38</v>
      </c>
      <c r="D55" s="7">
        <v>1</v>
      </c>
    </row>
    <row r="58" spans="1:4" ht="60" customHeight="1">
      <c r="A58" s="18" t="s">
        <v>21</v>
      </c>
      <c r="B58" s="19"/>
      <c r="C58" s="19"/>
      <c r="D58" s="20"/>
    </row>
    <row r="59" spans="1:4" ht="15">
      <c r="A59" s="4" t="s">
        <v>8</v>
      </c>
      <c r="B59" s="5"/>
      <c r="C59" s="6">
        <v>23</v>
      </c>
      <c r="D59" s="7">
        <v>0.61</v>
      </c>
    </row>
    <row r="60" spans="1:4" ht="15">
      <c r="A60" s="4" t="s">
        <v>9</v>
      </c>
      <c r="B60" s="5"/>
      <c r="C60" s="6">
        <v>15</v>
      </c>
      <c r="D60" s="7">
        <v>0.39</v>
      </c>
    </row>
    <row r="61" spans="1:4" ht="15">
      <c r="A61" s="14" t="s">
        <v>10</v>
      </c>
      <c r="B61" s="15"/>
      <c r="C61" s="6">
        <v>38</v>
      </c>
      <c r="D61" s="7">
        <v>1</v>
      </c>
    </row>
    <row r="62" spans="1:4" ht="15">
      <c r="A62" s="16" t="s">
        <v>22</v>
      </c>
      <c r="B62" s="17"/>
      <c r="C62" s="8"/>
      <c r="D62" s="9"/>
    </row>
    <row r="65" spans="1:4" ht="60" customHeight="1">
      <c r="A65" s="18" t="s">
        <v>23</v>
      </c>
      <c r="B65" s="19"/>
      <c r="C65" s="19"/>
      <c r="D65" s="20"/>
    </row>
    <row r="66" spans="1:4" ht="15">
      <c r="A66" s="16" t="s">
        <v>6</v>
      </c>
      <c r="B66" s="21"/>
      <c r="C66" s="21"/>
      <c r="D66" s="22"/>
    </row>
    <row r="69" spans="1:4" ht="60" customHeight="1">
      <c r="A69" s="18" t="s">
        <v>24</v>
      </c>
      <c r="B69" s="19"/>
      <c r="C69" s="19"/>
      <c r="D69" s="20"/>
    </row>
    <row r="70" spans="1:4" ht="15">
      <c r="A70" s="16" t="s">
        <v>6</v>
      </c>
      <c r="B70" s="21"/>
      <c r="C70" s="21"/>
      <c r="D70" s="22"/>
    </row>
    <row r="73" spans="1:4" ht="60" customHeight="1">
      <c r="A73" s="18" t="s">
        <v>25</v>
      </c>
      <c r="B73" s="19"/>
      <c r="C73" s="19"/>
      <c r="D73" s="20"/>
    </row>
    <row r="74" spans="1:4" ht="15">
      <c r="A74" s="16" t="s">
        <v>6</v>
      </c>
      <c r="B74" s="21"/>
      <c r="C74" s="21"/>
      <c r="D74" s="22"/>
    </row>
    <row r="77" ht="60" customHeight="1">
      <c r="A77" s="10" t="s">
        <v>26</v>
      </c>
    </row>
    <row r="80" spans="1:2" ht="25.5" customHeight="1">
      <c r="A80" s="23" t="s">
        <v>7</v>
      </c>
      <c r="B80" s="23"/>
    </row>
    <row r="81" spans="1:2" ht="15">
      <c r="A81" s="3"/>
      <c r="B81" s="3"/>
    </row>
    <row r="82" spans="1:2" ht="15">
      <c r="A82" s="11" t="s">
        <v>27</v>
      </c>
      <c r="B82" s="11" t="s">
        <v>28</v>
      </c>
    </row>
    <row r="83" spans="1:2" ht="25.5">
      <c r="A83" s="12">
        <v>1</v>
      </c>
      <c r="B83" s="12" t="s">
        <v>29</v>
      </c>
    </row>
    <row r="84" spans="1:2" ht="25.5">
      <c r="A84" s="12">
        <v>2</v>
      </c>
      <c r="B84" s="12" t="s">
        <v>30</v>
      </c>
    </row>
    <row r="85" spans="1:2" ht="63.75">
      <c r="A85" s="12">
        <v>3</v>
      </c>
      <c r="B85" s="12" t="s">
        <v>31</v>
      </c>
    </row>
    <row r="86" spans="1:2" ht="15">
      <c r="A86" s="12">
        <v>4</v>
      </c>
      <c r="B86" s="12" t="s">
        <v>32</v>
      </c>
    </row>
    <row r="87" spans="1:2" ht="63.75">
      <c r="A87" s="12">
        <v>5</v>
      </c>
      <c r="B87" s="12" t="s">
        <v>33</v>
      </c>
    </row>
    <row r="88" spans="1:2" ht="63.75">
      <c r="A88" s="12">
        <v>6</v>
      </c>
      <c r="B88" s="12" t="s">
        <v>34</v>
      </c>
    </row>
    <row r="89" spans="1:2" ht="89.25">
      <c r="A89" s="12">
        <v>7</v>
      </c>
      <c r="B89" s="12" t="s">
        <v>35</v>
      </c>
    </row>
    <row r="90" spans="1:2" ht="15">
      <c r="A90" s="12">
        <v>8</v>
      </c>
      <c r="B90" s="12" t="s">
        <v>36</v>
      </c>
    </row>
    <row r="91" spans="1:2" ht="51">
      <c r="A91" s="12">
        <v>9</v>
      </c>
      <c r="B91" s="12" t="s">
        <v>37</v>
      </c>
    </row>
    <row r="92" spans="1:2" ht="25.5">
      <c r="A92" s="12">
        <v>10</v>
      </c>
      <c r="B92" s="12" t="s">
        <v>38</v>
      </c>
    </row>
    <row r="93" spans="1:2" ht="38.25">
      <c r="A93" s="12">
        <v>11</v>
      </c>
      <c r="B93" s="12" t="s">
        <v>39</v>
      </c>
    </row>
    <row r="94" spans="1:2" ht="102">
      <c r="A94" s="12">
        <v>12</v>
      </c>
      <c r="B94" s="12" t="s">
        <v>40</v>
      </c>
    </row>
    <row r="95" spans="1:2" ht="153">
      <c r="A95" s="12">
        <v>13</v>
      </c>
      <c r="B95" s="12" t="s">
        <v>41</v>
      </c>
    </row>
    <row r="96" spans="1:2" ht="63.75">
      <c r="A96" s="12">
        <v>14</v>
      </c>
      <c r="B96" s="12" t="s">
        <v>42</v>
      </c>
    </row>
    <row r="97" spans="1:2" ht="63.75">
      <c r="A97" s="12">
        <v>15</v>
      </c>
      <c r="B97" s="12" t="s">
        <v>43</v>
      </c>
    </row>
    <row r="98" spans="1:2" ht="63.75">
      <c r="A98" s="12">
        <v>16</v>
      </c>
      <c r="B98" s="12" t="s">
        <v>44</v>
      </c>
    </row>
    <row r="99" spans="1:2" ht="51">
      <c r="A99" s="12">
        <v>17</v>
      </c>
      <c r="B99" s="12" t="s">
        <v>45</v>
      </c>
    </row>
    <row r="100" spans="1:2" ht="38.25">
      <c r="A100" s="12">
        <v>18</v>
      </c>
      <c r="B100" s="12" t="s">
        <v>46</v>
      </c>
    </row>
    <row r="101" spans="1:2" ht="51">
      <c r="A101" s="12">
        <v>19</v>
      </c>
      <c r="B101" s="12" t="s">
        <v>47</v>
      </c>
    </row>
    <row r="102" spans="1:2" ht="89.25">
      <c r="A102" s="12">
        <v>20</v>
      </c>
      <c r="B102" s="12" t="s">
        <v>48</v>
      </c>
    </row>
    <row r="103" spans="1:2" ht="15">
      <c r="A103" s="12">
        <v>21</v>
      </c>
      <c r="B103" s="12" t="s">
        <v>49</v>
      </c>
    </row>
    <row r="104" spans="1:2" ht="63.75">
      <c r="A104" s="12">
        <v>22</v>
      </c>
      <c r="B104" s="12" t="s">
        <v>50</v>
      </c>
    </row>
    <row r="105" spans="1:2" ht="25.5">
      <c r="A105" s="12">
        <v>23</v>
      </c>
      <c r="B105" s="12" t="s">
        <v>51</v>
      </c>
    </row>
    <row r="106" spans="1:2" ht="25.5">
      <c r="A106" s="12">
        <v>24</v>
      </c>
      <c r="B106" s="12" t="s">
        <v>52</v>
      </c>
    </row>
    <row r="107" spans="1:2" ht="165.75">
      <c r="A107" s="12">
        <v>25</v>
      </c>
      <c r="B107" s="12" t="s">
        <v>53</v>
      </c>
    </row>
    <row r="108" spans="1:2" ht="38.25" customHeight="1">
      <c r="A108" s="23" t="s">
        <v>14</v>
      </c>
      <c r="B108" s="23"/>
    </row>
    <row r="109" spans="1:2" ht="15">
      <c r="A109" s="3"/>
      <c r="B109" s="3"/>
    </row>
    <row r="110" spans="1:2" ht="15">
      <c r="A110" s="11" t="s">
        <v>27</v>
      </c>
      <c r="B110" s="11" t="s">
        <v>28</v>
      </c>
    </row>
    <row r="111" spans="1:2" ht="25.5">
      <c r="A111" s="12">
        <v>1</v>
      </c>
      <c r="B111" s="12" t="s">
        <v>54</v>
      </c>
    </row>
    <row r="112" spans="1:2" ht="15">
      <c r="A112" s="12">
        <v>2</v>
      </c>
      <c r="B112" s="12" t="s">
        <v>55</v>
      </c>
    </row>
    <row r="113" spans="1:2" ht="38.25">
      <c r="A113" s="12">
        <v>3</v>
      </c>
      <c r="B113" s="12" t="s">
        <v>56</v>
      </c>
    </row>
    <row r="114" spans="1:2" ht="25.5">
      <c r="A114" s="12">
        <v>4</v>
      </c>
      <c r="B114" s="12" t="s">
        <v>57</v>
      </c>
    </row>
    <row r="115" spans="1:2" ht="15">
      <c r="A115" s="12">
        <v>5</v>
      </c>
      <c r="B115" s="12" t="s">
        <v>58</v>
      </c>
    </row>
    <row r="116" spans="1:2" ht="76.5">
      <c r="A116" s="12">
        <v>6</v>
      </c>
      <c r="B116" s="12" t="s">
        <v>59</v>
      </c>
    </row>
    <row r="117" spans="1:2" ht="38.25">
      <c r="A117" s="12">
        <v>7</v>
      </c>
      <c r="B117" s="12" t="s">
        <v>60</v>
      </c>
    </row>
    <row r="118" spans="1:2" ht="15">
      <c r="A118" s="12">
        <v>8</v>
      </c>
      <c r="B118" s="12" t="s">
        <v>61</v>
      </c>
    </row>
    <row r="119" spans="1:2" ht="51">
      <c r="A119" s="12">
        <v>9</v>
      </c>
      <c r="B119" s="12" t="s">
        <v>62</v>
      </c>
    </row>
    <row r="120" spans="1:2" ht="25.5">
      <c r="A120" s="12">
        <v>10</v>
      </c>
      <c r="B120" s="12" t="s">
        <v>63</v>
      </c>
    </row>
    <row r="121" spans="1:2" ht="38.25">
      <c r="A121" s="12">
        <v>11</v>
      </c>
      <c r="B121" s="12" t="s">
        <v>64</v>
      </c>
    </row>
    <row r="122" spans="1:2" ht="25.5">
      <c r="A122" s="12">
        <v>12</v>
      </c>
      <c r="B122" s="12" t="s">
        <v>38</v>
      </c>
    </row>
    <row r="123" spans="1:2" ht="114.75">
      <c r="A123" s="12">
        <v>13</v>
      </c>
      <c r="B123" s="12" t="s">
        <v>65</v>
      </c>
    </row>
    <row r="124" spans="1:2" ht="127.5">
      <c r="A124" s="12">
        <v>14</v>
      </c>
      <c r="B124" s="12" t="s">
        <v>66</v>
      </c>
    </row>
    <row r="125" spans="1:2" ht="15">
      <c r="A125" s="12">
        <v>15</v>
      </c>
      <c r="B125" s="12" t="s">
        <v>58</v>
      </c>
    </row>
    <row r="126" spans="1:2" ht="51">
      <c r="A126" s="12">
        <v>16</v>
      </c>
      <c r="B126" s="12" t="s">
        <v>67</v>
      </c>
    </row>
    <row r="127" spans="1:2" ht="51">
      <c r="A127" s="12">
        <v>17</v>
      </c>
      <c r="B127" s="12" t="s">
        <v>68</v>
      </c>
    </row>
    <row r="128" spans="1:2" ht="15">
      <c r="A128" s="12">
        <v>18</v>
      </c>
      <c r="B128" s="12" t="s">
        <v>69</v>
      </c>
    </row>
    <row r="129" spans="1:2" ht="15">
      <c r="A129" s="12">
        <v>19</v>
      </c>
      <c r="B129" s="12" t="s">
        <v>70</v>
      </c>
    </row>
    <row r="130" spans="1:2" ht="51">
      <c r="A130" s="12">
        <v>20</v>
      </c>
      <c r="B130" s="12" t="s">
        <v>71</v>
      </c>
    </row>
    <row r="131" spans="1:2" ht="25.5">
      <c r="A131" s="12">
        <v>21</v>
      </c>
      <c r="B131" s="12" t="s">
        <v>72</v>
      </c>
    </row>
    <row r="132" spans="1:2" ht="15">
      <c r="A132" s="12">
        <v>22</v>
      </c>
      <c r="B132" s="12" t="s">
        <v>73</v>
      </c>
    </row>
    <row r="133" spans="1:2" ht="15">
      <c r="A133" s="12">
        <v>23</v>
      </c>
      <c r="B133" s="12" t="s">
        <v>74</v>
      </c>
    </row>
    <row r="134" spans="1:2" ht="25.5" customHeight="1">
      <c r="A134" s="23" t="s">
        <v>16</v>
      </c>
      <c r="B134" s="23"/>
    </row>
    <row r="135" spans="1:2" ht="15">
      <c r="A135" s="3"/>
      <c r="B135" s="3"/>
    </row>
    <row r="136" spans="1:2" ht="15">
      <c r="A136" s="11" t="s">
        <v>27</v>
      </c>
      <c r="B136" s="11" t="s">
        <v>28</v>
      </c>
    </row>
    <row r="137" spans="1:2" ht="51">
      <c r="A137" s="12">
        <v>1</v>
      </c>
      <c r="B137" s="12" t="s">
        <v>75</v>
      </c>
    </row>
    <row r="138" spans="1:2" ht="63.75">
      <c r="A138" s="12">
        <v>2</v>
      </c>
      <c r="B138" s="12" t="s">
        <v>76</v>
      </c>
    </row>
    <row r="139" spans="1:2" ht="38.25">
      <c r="A139" s="12">
        <v>3</v>
      </c>
      <c r="B139" s="12" t="s">
        <v>77</v>
      </c>
    </row>
    <row r="140" spans="1:2" ht="15">
      <c r="A140" s="12">
        <v>4</v>
      </c>
      <c r="B140" s="12" t="s">
        <v>78</v>
      </c>
    </row>
    <row r="141" spans="1:2" ht="51">
      <c r="A141" s="12">
        <v>5</v>
      </c>
      <c r="B141" s="12" t="s">
        <v>79</v>
      </c>
    </row>
    <row r="142" spans="1:2" ht="38.25">
      <c r="A142" s="12">
        <v>6</v>
      </c>
      <c r="B142" s="12" t="s">
        <v>80</v>
      </c>
    </row>
    <row r="143" spans="1:2" ht="76.5">
      <c r="A143" s="12">
        <v>7</v>
      </c>
      <c r="B143" s="12" t="s">
        <v>81</v>
      </c>
    </row>
    <row r="144" spans="1:2" ht="229.5">
      <c r="A144" s="12">
        <v>8</v>
      </c>
      <c r="B144" s="12" t="s">
        <v>82</v>
      </c>
    </row>
    <row r="145" spans="1:2" ht="38.25">
      <c r="A145" s="12">
        <v>9</v>
      </c>
      <c r="B145" s="12" t="s">
        <v>83</v>
      </c>
    </row>
    <row r="146" spans="1:2" ht="15">
      <c r="A146" s="12">
        <v>10</v>
      </c>
      <c r="B146" s="12" t="s">
        <v>84</v>
      </c>
    </row>
    <row r="147" spans="1:2" ht="25.5">
      <c r="A147" s="12">
        <v>11</v>
      </c>
      <c r="B147" s="12" t="s">
        <v>85</v>
      </c>
    </row>
    <row r="148" spans="1:2" ht="25.5">
      <c r="A148" s="12">
        <v>12</v>
      </c>
      <c r="B148" s="12" t="s">
        <v>86</v>
      </c>
    </row>
    <row r="149" spans="1:2" ht="15">
      <c r="A149" s="12">
        <v>13</v>
      </c>
      <c r="B149" s="12" t="s">
        <v>87</v>
      </c>
    </row>
    <row r="150" spans="1:2" ht="38.25">
      <c r="A150" s="12">
        <v>14</v>
      </c>
      <c r="B150" s="12" t="s">
        <v>88</v>
      </c>
    </row>
    <row r="151" spans="1:2" ht="114.75">
      <c r="A151" s="12">
        <v>15</v>
      </c>
      <c r="B151" s="12" t="s">
        <v>89</v>
      </c>
    </row>
    <row r="152" spans="1:2" ht="38.25">
      <c r="A152" s="12">
        <v>16</v>
      </c>
      <c r="B152" s="12" t="s">
        <v>90</v>
      </c>
    </row>
    <row r="153" spans="1:2" ht="76.5">
      <c r="A153" s="12">
        <v>17</v>
      </c>
      <c r="B153" s="12" t="s">
        <v>91</v>
      </c>
    </row>
    <row r="154" spans="1:2" ht="15">
      <c r="A154" s="12">
        <v>18</v>
      </c>
      <c r="B154" s="12" t="s">
        <v>92</v>
      </c>
    </row>
    <row r="155" spans="1:2" ht="38.25">
      <c r="A155" s="12">
        <v>19</v>
      </c>
      <c r="B155" s="12" t="s">
        <v>93</v>
      </c>
    </row>
    <row r="156" spans="1:2" ht="15">
      <c r="A156" s="12">
        <v>20</v>
      </c>
      <c r="B156" s="12" t="s">
        <v>94</v>
      </c>
    </row>
    <row r="157" spans="1:2" ht="38.25">
      <c r="A157" s="12">
        <v>21</v>
      </c>
      <c r="B157" s="12" t="s">
        <v>95</v>
      </c>
    </row>
    <row r="158" spans="1:2" ht="25.5">
      <c r="A158" s="12">
        <v>22</v>
      </c>
      <c r="B158" s="12" t="s">
        <v>96</v>
      </c>
    </row>
    <row r="159" spans="1:2" ht="51">
      <c r="A159" s="12">
        <v>23</v>
      </c>
      <c r="B159" s="12" t="s">
        <v>97</v>
      </c>
    </row>
    <row r="160" spans="1:2" ht="25.5">
      <c r="A160" s="12">
        <v>24</v>
      </c>
      <c r="B160" s="12" t="s">
        <v>98</v>
      </c>
    </row>
    <row r="161" spans="1:2" ht="89.25">
      <c r="A161" s="12">
        <v>25</v>
      </c>
      <c r="B161" s="12" t="s">
        <v>99</v>
      </c>
    </row>
    <row r="162" spans="1:2" ht="89.25">
      <c r="A162" s="12">
        <v>26</v>
      </c>
      <c r="B162" s="12" t="s">
        <v>100</v>
      </c>
    </row>
    <row r="163" spans="1:2" ht="25.5" customHeight="1">
      <c r="A163" s="23" t="s">
        <v>18</v>
      </c>
      <c r="B163" s="23"/>
    </row>
    <row r="164" spans="1:2" ht="15">
      <c r="A164" s="3"/>
      <c r="B164" s="3"/>
    </row>
    <row r="165" spans="1:2" ht="15">
      <c r="A165" s="11" t="s">
        <v>27</v>
      </c>
      <c r="B165" s="11" t="s">
        <v>28</v>
      </c>
    </row>
    <row r="166" spans="1:2" ht="38.25">
      <c r="A166" s="12">
        <v>1</v>
      </c>
      <c r="B166" s="12" t="s">
        <v>101</v>
      </c>
    </row>
    <row r="167" spans="1:2" ht="15">
      <c r="A167" s="12">
        <v>2</v>
      </c>
      <c r="B167" s="12" t="s">
        <v>102</v>
      </c>
    </row>
    <row r="168" spans="1:2" ht="76.5">
      <c r="A168" s="12">
        <v>3</v>
      </c>
      <c r="B168" s="12" t="s">
        <v>103</v>
      </c>
    </row>
    <row r="169" spans="1:2" ht="63.75">
      <c r="A169" s="12">
        <v>4</v>
      </c>
      <c r="B169" s="12" t="s">
        <v>104</v>
      </c>
    </row>
    <row r="170" spans="1:2" ht="38.25">
      <c r="A170" s="12">
        <v>5</v>
      </c>
      <c r="B170" s="12" t="s">
        <v>105</v>
      </c>
    </row>
    <row r="171" spans="1:2" ht="25.5">
      <c r="A171" s="12">
        <v>6</v>
      </c>
      <c r="B171" s="12" t="s">
        <v>106</v>
      </c>
    </row>
    <row r="172" spans="1:2" ht="51">
      <c r="A172" s="12">
        <v>7</v>
      </c>
      <c r="B172" s="12" t="s">
        <v>107</v>
      </c>
    </row>
    <row r="173" spans="1:2" ht="51">
      <c r="A173" s="12">
        <v>8</v>
      </c>
      <c r="B173" s="12" t="s">
        <v>108</v>
      </c>
    </row>
    <row r="174" spans="1:2" ht="76.5">
      <c r="A174" s="12">
        <v>9</v>
      </c>
      <c r="B174" s="12" t="s">
        <v>109</v>
      </c>
    </row>
    <row r="175" spans="1:2" ht="38.25">
      <c r="A175" s="12">
        <v>10</v>
      </c>
      <c r="B175" s="12" t="s">
        <v>110</v>
      </c>
    </row>
    <row r="176" spans="1:2" ht="15">
      <c r="A176" s="12">
        <v>11</v>
      </c>
      <c r="B176" s="12" t="s">
        <v>111</v>
      </c>
    </row>
    <row r="177" spans="1:2" ht="38.25">
      <c r="A177" s="12">
        <v>12</v>
      </c>
      <c r="B177" s="12" t="s">
        <v>112</v>
      </c>
    </row>
    <row r="178" spans="1:2" ht="63.75">
      <c r="A178" s="12">
        <v>13</v>
      </c>
      <c r="B178" s="12" t="s">
        <v>113</v>
      </c>
    </row>
    <row r="179" spans="1:2" ht="38.25">
      <c r="A179" s="12">
        <v>14</v>
      </c>
      <c r="B179" s="12" t="s">
        <v>114</v>
      </c>
    </row>
    <row r="180" spans="1:2" ht="25.5">
      <c r="A180" s="12">
        <v>15</v>
      </c>
      <c r="B180" s="12" t="s">
        <v>115</v>
      </c>
    </row>
    <row r="181" spans="1:2" ht="38.25" customHeight="1">
      <c r="A181" s="23" t="s">
        <v>21</v>
      </c>
      <c r="B181" s="23"/>
    </row>
    <row r="182" spans="1:2" ht="15">
      <c r="A182" s="3"/>
      <c r="B182" s="3"/>
    </row>
    <row r="183" spans="1:2" ht="15">
      <c r="A183" s="11" t="s">
        <v>27</v>
      </c>
      <c r="B183" s="11" t="s">
        <v>28</v>
      </c>
    </row>
    <row r="184" spans="1:2" ht="15">
      <c r="A184" s="12">
        <v>1</v>
      </c>
      <c r="B184" s="12" t="s">
        <v>116</v>
      </c>
    </row>
    <row r="185" spans="1:2" ht="25.5">
      <c r="A185" s="12">
        <v>2</v>
      </c>
      <c r="B185" s="12" t="s">
        <v>117</v>
      </c>
    </row>
    <row r="186" spans="1:2" ht="15">
      <c r="A186" s="12">
        <v>3</v>
      </c>
      <c r="B186" s="12" t="s">
        <v>118</v>
      </c>
    </row>
    <row r="187" spans="1:2" ht="25.5">
      <c r="A187" s="12">
        <v>4</v>
      </c>
      <c r="B187" s="12" t="s">
        <v>119</v>
      </c>
    </row>
    <row r="188" spans="1:2" ht="102">
      <c r="A188" s="12">
        <v>5</v>
      </c>
      <c r="B188" s="12" t="s">
        <v>120</v>
      </c>
    </row>
    <row r="189" spans="1:2" ht="38.25">
      <c r="A189" s="12">
        <v>6</v>
      </c>
      <c r="B189" s="12" t="s">
        <v>121</v>
      </c>
    </row>
    <row r="190" spans="1:2" ht="15">
      <c r="A190" s="12">
        <v>7</v>
      </c>
      <c r="B190" s="12" t="s">
        <v>122</v>
      </c>
    </row>
    <row r="191" spans="1:2" ht="25.5">
      <c r="A191" s="12">
        <v>8</v>
      </c>
      <c r="B191" s="12" t="s">
        <v>123</v>
      </c>
    </row>
    <row r="192" spans="1:2" ht="102">
      <c r="A192" s="12">
        <v>9</v>
      </c>
      <c r="B192" s="12" t="s">
        <v>124</v>
      </c>
    </row>
    <row r="193" spans="1:2" ht="25.5">
      <c r="A193" s="12">
        <v>10</v>
      </c>
      <c r="B193" s="12" t="s">
        <v>125</v>
      </c>
    </row>
    <row r="194" spans="1:2" ht="25.5">
      <c r="A194" s="12">
        <v>11</v>
      </c>
      <c r="B194" s="12" t="s">
        <v>126</v>
      </c>
    </row>
    <row r="195" spans="1:2" ht="25.5">
      <c r="A195" s="12">
        <v>12</v>
      </c>
      <c r="B195" s="12" t="s">
        <v>127</v>
      </c>
    </row>
    <row r="196" spans="1:2" ht="25.5">
      <c r="A196" s="12">
        <v>13</v>
      </c>
      <c r="B196" s="12" t="s">
        <v>128</v>
      </c>
    </row>
    <row r="197" spans="1:2" ht="25.5">
      <c r="A197" s="12">
        <v>14</v>
      </c>
      <c r="B197" s="12" t="s">
        <v>129</v>
      </c>
    </row>
    <row r="198" spans="1:2" ht="89.25">
      <c r="A198" s="12">
        <v>15</v>
      </c>
      <c r="B198" s="12" t="s">
        <v>130</v>
      </c>
    </row>
    <row r="199" spans="1:2" ht="89.25">
      <c r="A199" s="12">
        <v>16</v>
      </c>
      <c r="B199" s="12" t="s">
        <v>131</v>
      </c>
    </row>
    <row r="200" spans="1:2" ht="114.75">
      <c r="A200" s="12">
        <v>17</v>
      </c>
      <c r="B200" s="12" t="s">
        <v>132</v>
      </c>
    </row>
    <row r="201" spans="1:2" ht="38.25">
      <c r="A201" s="12">
        <v>18</v>
      </c>
      <c r="B201" s="12" t="s">
        <v>133</v>
      </c>
    </row>
    <row r="202" spans="1:2" ht="38.25">
      <c r="A202" s="12">
        <v>19</v>
      </c>
      <c r="B202" s="12" t="s">
        <v>134</v>
      </c>
    </row>
    <row r="203" spans="1:2" ht="25.5">
      <c r="A203" s="12">
        <v>20</v>
      </c>
      <c r="B203" s="12" t="s">
        <v>135</v>
      </c>
    </row>
    <row r="204" spans="1:2" ht="63.75">
      <c r="A204" s="12">
        <v>21</v>
      </c>
      <c r="B204" s="12" t="s">
        <v>136</v>
      </c>
    </row>
    <row r="205" spans="1:2" ht="25.5">
      <c r="A205" s="12">
        <v>22</v>
      </c>
      <c r="B205" s="12" t="s">
        <v>137</v>
      </c>
    </row>
    <row r="206" spans="1:2" ht="25.5">
      <c r="A206" s="12">
        <v>23</v>
      </c>
      <c r="B206" s="12" t="s">
        <v>138</v>
      </c>
    </row>
    <row r="207" spans="1:2" ht="38.25">
      <c r="A207" s="12">
        <v>24</v>
      </c>
      <c r="B207" s="12" t="s">
        <v>139</v>
      </c>
    </row>
    <row r="208" spans="1:2" ht="63.75">
      <c r="A208" s="12">
        <v>25</v>
      </c>
      <c r="B208" s="12" t="s">
        <v>140</v>
      </c>
    </row>
    <row r="209" spans="1:2" ht="25.5">
      <c r="A209" s="12">
        <v>26</v>
      </c>
      <c r="B209" s="12" t="s">
        <v>141</v>
      </c>
    </row>
    <row r="210" spans="1:2" ht="38.25">
      <c r="A210" s="12">
        <v>27</v>
      </c>
      <c r="B210" s="12" t="s">
        <v>142</v>
      </c>
    </row>
    <row r="211" spans="1:2" ht="51" customHeight="1">
      <c r="A211" s="23" t="s">
        <v>23</v>
      </c>
      <c r="B211" s="23"/>
    </row>
    <row r="212" spans="1:2" ht="15">
      <c r="A212" s="3"/>
      <c r="B212" s="3"/>
    </row>
    <row r="213" spans="1:2" ht="15">
      <c r="A213" s="11" t="s">
        <v>27</v>
      </c>
      <c r="B213" s="11" t="s">
        <v>28</v>
      </c>
    </row>
    <row r="214" spans="1:2" ht="63.75">
      <c r="A214" s="12">
        <v>1</v>
      </c>
      <c r="B214" s="12" t="s">
        <v>143</v>
      </c>
    </row>
    <row r="215" spans="1:2" ht="15">
      <c r="A215" s="12">
        <v>2</v>
      </c>
      <c r="B215" s="12" t="s">
        <v>144</v>
      </c>
    </row>
    <row r="216" spans="1:2" ht="15">
      <c r="A216" s="12">
        <v>3</v>
      </c>
      <c r="B216" s="12" t="s">
        <v>145</v>
      </c>
    </row>
    <row r="217" spans="1:2" ht="15">
      <c r="A217" s="12">
        <v>4</v>
      </c>
      <c r="B217" s="12" t="s">
        <v>146</v>
      </c>
    </row>
    <row r="218" spans="1:2" ht="15">
      <c r="A218" s="12">
        <v>5</v>
      </c>
      <c r="B218" s="12" t="s">
        <v>147</v>
      </c>
    </row>
    <row r="219" spans="1:2" ht="25.5">
      <c r="A219" s="12">
        <v>6</v>
      </c>
      <c r="B219" s="12" t="s">
        <v>148</v>
      </c>
    </row>
    <row r="220" spans="1:2" ht="38.25">
      <c r="A220" s="12">
        <v>7</v>
      </c>
      <c r="B220" s="12" t="s">
        <v>149</v>
      </c>
    </row>
    <row r="221" spans="1:2" ht="15">
      <c r="A221" s="12">
        <v>8</v>
      </c>
      <c r="B221" s="12" t="s">
        <v>150</v>
      </c>
    </row>
    <row r="222" spans="1:2" ht="127.5">
      <c r="A222" s="12">
        <v>9</v>
      </c>
      <c r="B222" s="12" t="s">
        <v>151</v>
      </c>
    </row>
    <row r="223" spans="1:2" ht="51">
      <c r="A223" s="12">
        <v>10</v>
      </c>
      <c r="B223" s="12" t="s">
        <v>152</v>
      </c>
    </row>
    <row r="224" spans="1:2" ht="15">
      <c r="A224" s="12">
        <v>11</v>
      </c>
      <c r="B224" s="12" t="s">
        <v>153</v>
      </c>
    </row>
    <row r="225" spans="1:2" ht="15">
      <c r="A225" s="12">
        <v>12</v>
      </c>
      <c r="B225" s="12" t="s">
        <v>154</v>
      </c>
    </row>
    <row r="226" spans="1:2" ht="51">
      <c r="A226" s="12">
        <v>13</v>
      </c>
      <c r="B226" s="12" t="s">
        <v>155</v>
      </c>
    </row>
    <row r="227" spans="1:2" ht="38.25">
      <c r="A227" s="12">
        <v>14</v>
      </c>
      <c r="B227" s="12" t="s">
        <v>156</v>
      </c>
    </row>
    <row r="228" spans="1:2" ht="51">
      <c r="A228" s="12">
        <v>15</v>
      </c>
      <c r="B228" s="12" t="s">
        <v>157</v>
      </c>
    </row>
    <row r="229" spans="1:2" ht="25.5">
      <c r="A229" s="12">
        <v>16</v>
      </c>
      <c r="B229" s="12" t="s">
        <v>158</v>
      </c>
    </row>
    <row r="230" spans="1:2" ht="15">
      <c r="A230" s="12">
        <v>17</v>
      </c>
      <c r="B230" s="12" t="s">
        <v>159</v>
      </c>
    </row>
    <row r="231" spans="1:2" ht="38.25">
      <c r="A231" s="12">
        <v>18</v>
      </c>
      <c r="B231" s="12" t="s">
        <v>160</v>
      </c>
    </row>
    <row r="232" spans="1:2" ht="25.5">
      <c r="A232" s="12">
        <v>19</v>
      </c>
      <c r="B232" s="12" t="s">
        <v>161</v>
      </c>
    </row>
    <row r="233" spans="1:2" ht="114.75">
      <c r="A233" s="12">
        <v>20</v>
      </c>
      <c r="B233" s="12" t="s">
        <v>162</v>
      </c>
    </row>
    <row r="234" spans="1:2" ht="102">
      <c r="A234" s="12">
        <v>21</v>
      </c>
      <c r="B234" s="12" t="s">
        <v>163</v>
      </c>
    </row>
    <row r="235" spans="1:2" ht="25.5">
      <c r="A235" s="12">
        <v>22</v>
      </c>
      <c r="B235" s="12" t="s">
        <v>164</v>
      </c>
    </row>
    <row r="236" spans="1:2" ht="15">
      <c r="A236" s="12">
        <v>23</v>
      </c>
      <c r="B236" s="12" t="s">
        <v>153</v>
      </c>
    </row>
    <row r="237" spans="1:2" ht="38.25">
      <c r="A237" s="12">
        <v>24</v>
      </c>
      <c r="B237" s="12" t="s">
        <v>165</v>
      </c>
    </row>
    <row r="238" spans="1:2" ht="15">
      <c r="A238" s="12">
        <v>25</v>
      </c>
      <c r="B238" s="12" t="s">
        <v>166</v>
      </c>
    </row>
    <row r="239" spans="1:2" ht="15">
      <c r="A239" s="12">
        <v>26</v>
      </c>
      <c r="B239" s="12" t="s">
        <v>153</v>
      </c>
    </row>
    <row r="240" spans="1:2" ht="38.25">
      <c r="A240" s="12">
        <v>27</v>
      </c>
      <c r="B240" s="12" t="s">
        <v>167</v>
      </c>
    </row>
    <row r="241" spans="1:2" ht="38.25">
      <c r="A241" s="12">
        <v>28</v>
      </c>
      <c r="B241" s="12" t="s">
        <v>168</v>
      </c>
    </row>
    <row r="242" spans="1:2" ht="63.75">
      <c r="A242" s="12">
        <v>29</v>
      </c>
      <c r="B242" s="12" t="s">
        <v>169</v>
      </c>
    </row>
    <row r="243" spans="1:2" ht="15">
      <c r="A243" s="12">
        <v>30</v>
      </c>
      <c r="B243" s="12" t="s">
        <v>170</v>
      </c>
    </row>
    <row r="244" spans="1:2" ht="63.75">
      <c r="A244" s="12">
        <v>31</v>
      </c>
      <c r="B244" s="12" t="s">
        <v>171</v>
      </c>
    </row>
    <row r="245" spans="1:2" ht="63.75">
      <c r="A245" s="12">
        <v>32</v>
      </c>
      <c r="B245" s="12" t="s">
        <v>172</v>
      </c>
    </row>
    <row r="246" spans="1:2" ht="25.5">
      <c r="A246" s="12">
        <v>33</v>
      </c>
      <c r="B246" s="12" t="s">
        <v>173</v>
      </c>
    </row>
    <row r="247" spans="1:2" ht="15">
      <c r="A247" s="12">
        <v>34</v>
      </c>
      <c r="B247" s="12" t="s">
        <v>174</v>
      </c>
    </row>
    <row r="248" spans="1:2" ht="15">
      <c r="A248" s="12">
        <v>35</v>
      </c>
      <c r="B248" s="12" t="s">
        <v>175</v>
      </c>
    </row>
    <row r="249" spans="1:2" ht="15">
      <c r="A249" s="12">
        <v>36</v>
      </c>
      <c r="B249" s="12" t="s">
        <v>176</v>
      </c>
    </row>
    <row r="250" spans="1:2" ht="25.5">
      <c r="A250" s="12">
        <v>37</v>
      </c>
      <c r="B250" s="12" t="s">
        <v>177</v>
      </c>
    </row>
    <row r="251" spans="1:2" ht="15">
      <c r="A251" s="12">
        <v>38</v>
      </c>
      <c r="B251" s="12" t="s">
        <v>178</v>
      </c>
    </row>
    <row r="252" spans="1:2" ht="25.5" customHeight="1">
      <c r="A252" s="23" t="s">
        <v>24</v>
      </c>
      <c r="B252" s="23"/>
    </row>
    <row r="253" spans="1:2" ht="15">
      <c r="A253" s="3"/>
      <c r="B253" s="3"/>
    </row>
    <row r="254" spans="1:2" ht="15">
      <c r="A254" s="11" t="s">
        <v>27</v>
      </c>
      <c r="B254" s="11" t="s">
        <v>28</v>
      </c>
    </row>
    <row r="255" spans="1:2" ht="25.5">
      <c r="A255" s="12">
        <v>1</v>
      </c>
      <c r="B255" s="12" t="s">
        <v>179</v>
      </c>
    </row>
    <row r="256" spans="1:2" ht="25.5">
      <c r="A256" s="12">
        <v>2</v>
      </c>
      <c r="B256" s="12" t="s">
        <v>180</v>
      </c>
    </row>
    <row r="257" spans="1:2" ht="15">
      <c r="A257" s="12">
        <v>3</v>
      </c>
      <c r="B257" s="12" t="s">
        <v>145</v>
      </c>
    </row>
    <row r="258" spans="1:2" ht="15">
      <c r="A258" s="12">
        <v>4</v>
      </c>
      <c r="B258" s="12" t="s">
        <v>146</v>
      </c>
    </row>
    <row r="259" spans="1:2" ht="63.75">
      <c r="A259" s="12">
        <v>5</v>
      </c>
      <c r="B259" s="12" t="s">
        <v>181</v>
      </c>
    </row>
    <row r="260" spans="1:2" ht="76.5">
      <c r="A260" s="12">
        <v>6</v>
      </c>
      <c r="B260" s="12" t="s">
        <v>182</v>
      </c>
    </row>
    <row r="261" spans="1:2" ht="15">
      <c r="A261" s="12">
        <v>7</v>
      </c>
      <c r="B261" s="12" t="s">
        <v>183</v>
      </c>
    </row>
    <row r="262" spans="1:2" ht="38.25">
      <c r="A262" s="12">
        <v>8</v>
      </c>
      <c r="B262" s="12" t="s">
        <v>184</v>
      </c>
    </row>
    <row r="263" spans="1:2" ht="51">
      <c r="A263" s="12">
        <v>9</v>
      </c>
      <c r="B263" s="12" t="s">
        <v>185</v>
      </c>
    </row>
    <row r="264" spans="1:2" ht="127.5">
      <c r="A264" s="12">
        <v>10</v>
      </c>
      <c r="B264" s="12" t="s">
        <v>186</v>
      </c>
    </row>
    <row r="265" spans="1:2" ht="15">
      <c r="A265" s="12">
        <v>11</v>
      </c>
      <c r="B265" s="12" t="s">
        <v>153</v>
      </c>
    </row>
    <row r="266" spans="1:2" ht="165.75">
      <c r="A266" s="12">
        <v>12</v>
      </c>
      <c r="B266" s="12" t="s">
        <v>187</v>
      </c>
    </row>
    <row r="267" spans="1:2" ht="63.75">
      <c r="A267" s="12">
        <v>13</v>
      </c>
      <c r="B267" s="12" t="s">
        <v>188</v>
      </c>
    </row>
    <row r="268" spans="1:2" ht="76.5">
      <c r="A268" s="12">
        <v>14</v>
      </c>
      <c r="B268" s="12" t="s">
        <v>189</v>
      </c>
    </row>
    <row r="269" spans="1:2" ht="51">
      <c r="A269" s="12">
        <v>15</v>
      </c>
      <c r="B269" s="12" t="s">
        <v>190</v>
      </c>
    </row>
    <row r="270" spans="1:2" ht="114.75">
      <c r="A270" s="12">
        <v>16</v>
      </c>
      <c r="B270" s="12" t="s">
        <v>191</v>
      </c>
    </row>
    <row r="271" spans="1:2" ht="15">
      <c r="A271" s="12">
        <v>17</v>
      </c>
      <c r="B271" s="12" t="s">
        <v>192</v>
      </c>
    </row>
    <row r="272" spans="1:2" ht="114.75">
      <c r="A272" s="12">
        <v>18</v>
      </c>
      <c r="B272" s="12" t="s">
        <v>193</v>
      </c>
    </row>
    <row r="273" spans="1:2" ht="25.5">
      <c r="A273" s="12">
        <v>19</v>
      </c>
      <c r="B273" s="12" t="s">
        <v>194</v>
      </c>
    </row>
    <row r="274" spans="1:2" ht="76.5">
      <c r="A274" s="12">
        <v>20</v>
      </c>
      <c r="B274" s="12" t="s">
        <v>195</v>
      </c>
    </row>
    <row r="275" spans="1:2" ht="25.5">
      <c r="A275" s="12">
        <v>21</v>
      </c>
      <c r="B275" s="12" t="s">
        <v>196</v>
      </c>
    </row>
    <row r="276" spans="1:2" ht="25.5">
      <c r="A276" s="12">
        <v>22</v>
      </c>
      <c r="B276" s="12" t="s">
        <v>197</v>
      </c>
    </row>
    <row r="277" spans="1:2" ht="76.5">
      <c r="A277" s="12">
        <v>23</v>
      </c>
      <c r="B277" s="12" t="s">
        <v>198</v>
      </c>
    </row>
    <row r="278" spans="1:2" ht="51">
      <c r="A278" s="12">
        <v>24</v>
      </c>
      <c r="B278" s="12" t="s">
        <v>199</v>
      </c>
    </row>
    <row r="279" spans="1:2" ht="15">
      <c r="A279" s="12">
        <v>25</v>
      </c>
      <c r="B279" s="12" t="s">
        <v>200</v>
      </c>
    </row>
    <row r="280" spans="1:2" ht="15">
      <c r="A280" s="12">
        <v>26</v>
      </c>
      <c r="B280" s="12" t="s">
        <v>153</v>
      </c>
    </row>
    <row r="281" spans="1:2" ht="102">
      <c r="A281" s="12">
        <v>27</v>
      </c>
      <c r="B281" s="12" t="s">
        <v>201</v>
      </c>
    </row>
    <row r="282" spans="1:2" ht="76.5">
      <c r="A282" s="12">
        <v>28</v>
      </c>
      <c r="B282" s="12" t="s">
        <v>202</v>
      </c>
    </row>
    <row r="283" spans="1:2" ht="15">
      <c r="A283" s="12">
        <v>29</v>
      </c>
      <c r="B283" s="12" t="s">
        <v>32</v>
      </c>
    </row>
    <row r="284" spans="1:2" ht="51">
      <c r="A284" s="12">
        <v>30</v>
      </c>
      <c r="B284" s="12" t="s">
        <v>203</v>
      </c>
    </row>
    <row r="285" spans="1:2" ht="25.5">
      <c r="A285" s="12">
        <v>31</v>
      </c>
      <c r="B285" s="12" t="s">
        <v>204</v>
      </c>
    </row>
    <row r="286" spans="1:2" ht="15">
      <c r="A286" s="12">
        <v>32</v>
      </c>
      <c r="B286" s="12" t="s">
        <v>32</v>
      </c>
    </row>
    <row r="287" spans="1:2" ht="76.5">
      <c r="A287" s="12">
        <v>33</v>
      </c>
      <c r="B287" s="12" t="s">
        <v>205</v>
      </c>
    </row>
    <row r="288" spans="1:2" ht="15">
      <c r="A288" s="12">
        <v>34</v>
      </c>
      <c r="B288" s="12" t="s">
        <v>174</v>
      </c>
    </row>
    <row r="289" spans="1:2" ht="15">
      <c r="A289" s="12">
        <v>35</v>
      </c>
      <c r="B289" s="12" t="s">
        <v>32</v>
      </c>
    </row>
    <row r="290" spans="1:2" ht="38.25">
      <c r="A290" s="12">
        <v>36</v>
      </c>
      <c r="B290" s="12" t="s">
        <v>206</v>
      </c>
    </row>
    <row r="291" spans="1:2" ht="15">
      <c r="A291" s="12">
        <v>37</v>
      </c>
      <c r="B291" s="12" t="s">
        <v>32</v>
      </c>
    </row>
    <row r="292" spans="1:2" ht="15">
      <c r="A292" s="12">
        <v>38</v>
      </c>
      <c r="B292" s="12" t="s">
        <v>178</v>
      </c>
    </row>
    <row r="294" s="13" customFormat="1" ht="12.75">
      <c r="A294" s="13" t="s">
        <v>245</v>
      </c>
    </row>
    <row r="295" s="13" customFormat="1" ht="12.75">
      <c r="A295" s="13" t="s">
        <v>246</v>
      </c>
    </row>
    <row r="296" spans="1:2" s="13" customFormat="1" ht="12.75">
      <c r="A296" s="12">
        <v>1</v>
      </c>
      <c r="B296" s="13" t="s">
        <v>207</v>
      </c>
    </row>
    <row r="297" spans="1:2" s="13" customFormat="1" ht="12.75">
      <c r="A297" s="12">
        <v>2</v>
      </c>
      <c r="B297" s="13" t="s">
        <v>208</v>
      </c>
    </row>
    <row r="298" spans="1:2" s="13" customFormat="1" ht="12.75">
      <c r="A298" s="12">
        <v>3</v>
      </c>
      <c r="B298" s="13" t="s">
        <v>209</v>
      </c>
    </row>
    <row r="299" spans="1:2" s="13" customFormat="1" ht="12.75">
      <c r="A299" s="12">
        <v>4</v>
      </c>
      <c r="B299" s="13" t="s">
        <v>210</v>
      </c>
    </row>
    <row r="300" spans="1:2" s="13" customFormat="1" ht="12.75">
      <c r="A300" s="12">
        <v>5</v>
      </c>
      <c r="B300" s="13" t="s">
        <v>211</v>
      </c>
    </row>
    <row r="301" spans="1:2" s="13" customFormat="1" ht="12.75">
      <c r="A301" s="12">
        <v>6</v>
      </c>
      <c r="B301" s="13" t="s">
        <v>212</v>
      </c>
    </row>
    <row r="302" spans="1:2" s="13" customFormat="1" ht="12.75">
      <c r="A302" s="12">
        <v>7</v>
      </c>
      <c r="B302" s="13" t="s">
        <v>213</v>
      </c>
    </row>
    <row r="303" spans="1:2" s="13" customFormat="1" ht="12.75">
      <c r="A303" s="12">
        <v>8</v>
      </c>
      <c r="B303" s="13" t="s">
        <v>214</v>
      </c>
    </row>
    <row r="304" spans="1:2" s="13" customFormat="1" ht="12.75">
      <c r="A304" s="12">
        <v>9</v>
      </c>
      <c r="B304" s="13" t="s">
        <v>215</v>
      </c>
    </row>
    <row r="305" spans="1:2" s="13" customFormat="1" ht="12.75">
      <c r="A305" s="12">
        <v>10</v>
      </c>
      <c r="B305" s="13" t="s">
        <v>216</v>
      </c>
    </row>
    <row r="306" spans="1:2" s="13" customFormat="1" ht="12.75">
      <c r="A306" s="12">
        <v>11</v>
      </c>
      <c r="B306" s="13" t="s">
        <v>217</v>
      </c>
    </row>
    <row r="307" spans="1:2" s="13" customFormat="1" ht="12.75">
      <c r="A307" s="12">
        <v>12</v>
      </c>
      <c r="B307" s="13" t="s">
        <v>218</v>
      </c>
    </row>
    <row r="308" spans="1:2" s="13" customFormat="1" ht="12.75">
      <c r="A308" s="12">
        <v>13</v>
      </c>
      <c r="B308" s="13" t="s">
        <v>219</v>
      </c>
    </row>
    <row r="309" spans="1:2" s="13" customFormat="1" ht="12.75">
      <c r="A309" s="12">
        <v>14</v>
      </c>
      <c r="B309" s="13" t="s">
        <v>220</v>
      </c>
    </row>
    <row r="310" spans="1:2" s="13" customFormat="1" ht="12.75">
      <c r="A310" s="12">
        <v>15</v>
      </c>
      <c r="B310" s="13" t="s">
        <v>221</v>
      </c>
    </row>
    <row r="311" spans="1:2" s="13" customFormat="1" ht="12.75">
      <c r="A311" s="12">
        <v>16</v>
      </c>
      <c r="B311" s="13" t="s">
        <v>222</v>
      </c>
    </row>
    <row r="312" spans="1:2" s="13" customFormat="1" ht="12.75">
      <c r="A312" s="12">
        <v>17</v>
      </c>
      <c r="B312" s="13" t="s">
        <v>223</v>
      </c>
    </row>
    <row r="313" spans="1:2" s="13" customFormat="1" ht="12.75">
      <c r="A313" s="12">
        <v>18</v>
      </c>
      <c r="B313" s="13" t="s">
        <v>224</v>
      </c>
    </row>
    <row r="314" spans="1:2" s="13" customFormat="1" ht="12.75">
      <c r="A314" s="12">
        <v>19</v>
      </c>
      <c r="B314" s="13" t="s">
        <v>225</v>
      </c>
    </row>
    <row r="315" spans="1:2" s="13" customFormat="1" ht="12.75">
      <c r="A315" s="12">
        <v>20</v>
      </c>
      <c r="B315" s="13" t="s">
        <v>226</v>
      </c>
    </row>
    <row r="316" spans="1:2" s="13" customFormat="1" ht="12.75">
      <c r="A316" s="12">
        <v>21</v>
      </c>
      <c r="B316" s="13" t="s">
        <v>227</v>
      </c>
    </row>
    <row r="317" spans="1:2" s="13" customFormat="1" ht="12.75">
      <c r="A317" s="12">
        <v>22</v>
      </c>
      <c r="B317" s="13" t="s">
        <v>228</v>
      </c>
    </row>
    <row r="318" spans="1:2" s="13" customFormat="1" ht="12.75">
      <c r="A318" s="12">
        <v>23</v>
      </c>
      <c r="B318" s="13" t="s">
        <v>229</v>
      </c>
    </row>
    <row r="319" spans="1:2" s="13" customFormat="1" ht="12.75">
      <c r="A319" s="12">
        <v>24</v>
      </c>
      <c r="B319" s="13" t="s">
        <v>230</v>
      </c>
    </row>
    <row r="320" spans="1:2" s="13" customFormat="1" ht="12.75">
      <c r="A320" s="12">
        <v>25</v>
      </c>
      <c r="B320" s="13" t="s">
        <v>231</v>
      </c>
    </row>
    <row r="321" spans="1:2" s="13" customFormat="1" ht="12.75">
      <c r="A321" s="12">
        <v>26</v>
      </c>
      <c r="B321" s="13" t="s">
        <v>232</v>
      </c>
    </row>
    <row r="322" spans="1:2" s="13" customFormat="1" ht="12.75">
      <c r="A322" s="12">
        <v>27</v>
      </c>
      <c r="B322" s="13" t="s">
        <v>233</v>
      </c>
    </row>
    <row r="323" spans="1:2" s="13" customFormat="1" ht="12.75">
      <c r="A323" s="12">
        <v>28</v>
      </c>
      <c r="B323" s="13" t="s">
        <v>234</v>
      </c>
    </row>
    <row r="324" spans="1:2" s="13" customFormat="1" ht="12.75">
      <c r="A324" s="12">
        <v>29</v>
      </c>
      <c r="B324" s="13" t="s">
        <v>235</v>
      </c>
    </row>
    <row r="325" spans="1:2" s="13" customFormat="1" ht="12.75">
      <c r="A325" s="12">
        <v>30</v>
      </c>
      <c r="B325" s="13" t="s">
        <v>236</v>
      </c>
    </row>
    <row r="326" spans="1:2" s="13" customFormat="1" ht="12.75">
      <c r="A326" s="12">
        <v>31</v>
      </c>
      <c r="B326" s="13" t="s">
        <v>237</v>
      </c>
    </row>
    <row r="327" spans="1:2" s="13" customFormat="1" ht="12.75">
      <c r="A327" s="12">
        <v>32</v>
      </c>
      <c r="B327" s="13" t="s">
        <v>238</v>
      </c>
    </row>
    <row r="328" spans="1:2" s="13" customFormat="1" ht="12.75">
      <c r="A328" s="12">
        <v>33</v>
      </c>
      <c r="B328" s="13" t="s">
        <v>239</v>
      </c>
    </row>
    <row r="329" spans="1:2" s="13" customFormat="1" ht="12.75">
      <c r="A329" s="12">
        <v>34</v>
      </c>
      <c r="B329" s="13" t="s">
        <v>240</v>
      </c>
    </row>
    <row r="330" spans="1:2" s="13" customFormat="1" ht="12.75">
      <c r="A330" s="12">
        <v>35</v>
      </c>
      <c r="B330" s="13" t="s">
        <v>241</v>
      </c>
    </row>
    <row r="331" spans="1:2" s="13" customFormat="1" ht="12.75">
      <c r="A331" s="12">
        <v>36</v>
      </c>
      <c r="B331" s="13" t="s">
        <v>242</v>
      </c>
    </row>
    <row r="332" spans="1:2" s="13" customFormat="1" ht="12.75">
      <c r="A332" s="12">
        <v>37</v>
      </c>
      <c r="B332" s="13" t="s">
        <v>243</v>
      </c>
    </row>
    <row r="333" spans="1:2" s="13" customFormat="1" ht="12.75">
      <c r="A333" s="12">
        <v>38</v>
      </c>
      <c r="B333" s="13" t="s">
        <v>244</v>
      </c>
    </row>
  </sheetData>
  <sheetProtection/>
  <mergeCells count="36">
    <mergeCell ref="A74:D74"/>
    <mergeCell ref="A80:B80"/>
    <mergeCell ref="A108:B108"/>
    <mergeCell ref="A134:B134"/>
    <mergeCell ref="A163:B163"/>
    <mergeCell ref="A181:B181"/>
    <mergeCell ref="A52:D52"/>
    <mergeCell ref="A55:B55"/>
    <mergeCell ref="A58:D58"/>
    <mergeCell ref="A61:B61"/>
    <mergeCell ref="A211:B211"/>
    <mergeCell ref="A252:B252"/>
    <mergeCell ref="A66:D66"/>
    <mergeCell ref="A69:D69"/>
    <mergeCell ref="A70:D70"/>
    <mergeCell ref="A73:D73"/>
    <mergeCell ref="A28:B28"/>
    <mergeCell ref="A31:D31"/>
    <mergeCell ref="A62:B62"/>
    <mergeCell ref="A65:D65"/>
    <mergeCell ref="A38:D38"/>
    <mergeCell ref="A41:B41"/>
    <mergeCell ref="A42:B42"/>
    <mergeCell ref="A45:D45"/>
    <mergeCell ref="A48:B48"/>
    <mergeCell ref="A49:B49"/>
    <mergeCell ref="A34:B34"/>
    <mergeCell ref="A35:B35"/>
    <mergeCell ref="A8:D8"/>
    <mergeCell ref="A9:D9"/>
    <mergeCell ref="A12:D12"/>
    <mergeCell ref="A15:B15"/>
    <mergeCell ref="A16:B16"/>
    <mergeCell ref="A19:D19"/>
    <mergeCell ref="A22:B22"/>
    <mergeCell ref="A25:D25"/>
  </mergeCells>
  <printOptions/>
  <pageMargins left="0.75" right="0.75" top="1" bottom="1" header="0.5" footer="0.5"/>
  <pageSetup horizontalDpi="600" verticalDpi="600" orientation="portrait" r:id="rId1"/>
  <customProperties>
    <customPr name="DVSECTIONID" r:id="rId2"/>
  </customProperties>
</worksheet>
</file>

<file path=xl/worksheets/sheet2.xml><?xml version="1.0" encoding="utf-8"?>
<worksheet xmlns="http://schemas.openxmlformats.org/spreadsheetml/2006/main" xmlns:r="http://schemas.openxmlformats.org/officeDocument/2006/relationships">
  <dimension ref="A1:IV5"/>
  <sheetViews>
    <sheetView zoomScalePageLayoutView="0" workbookViewId="0" topLeftCell="A1">
      <selection activeCell="DX5" sqref="DX5"/>
    </sheetView>
  </sheetViews>
  <sheetFormatPr defaultColWidth="9.140625" defaultRowHeight="15"/>
  <sheetData>
    <row r="1" spans="1:256" ht="15">
      <c r="A1" t="e">
        <f>IF('Air Dispersion Modeling Survey'!1:1,"AAAAAD1/uQA=",0)</f>
        <v>#VALUE!</v>
      </c>
      <c r="B1" t="e">
        <f>AND('Air Dispersion Modeling Survey'!A1,"AAAAAD1/uQE=")</f>
        <v>#VALUE!</v>
      </c>
      <c r="C1" t="e">
        <f>AND('Air Dispersion Modeling Survey'!B1,"AAAAAD1/uQI=")</f>
        <v>#VALUE!</v>
      </c>
      <c r="D1" t="e">
        <f>AND('Air Dispersion Modeling Survey'!C1,"AAAAAD1/uQM=")</f>
        <v>#VALUE!</v>
      </c>
      <c r="E1" t="e">
        <f>AND('Air Dispersion Modeling Survey'!D1,"AAAAAD1/uQQ=")</f>
        <v>#VALUE!</v>
      </c>
      <c r="F1">
        <f>IF('Air Dispersion Modeling Survey'!2:2,"AAAAAD1/uQU=",0)</f>
        <v>0</v>
      </c>
      <c r="G1" t="e">
        <f>AND('Air Dispersion Modeling Survey'!A2,"AAAAAD1/uQY=")</f>
        <v>#VALUE!</v>
      </c>
      <c r="H1" t="e">
        <f>AND('Air Dispersion Modeling Survey'!B2,"AAAAAD1/uQc=")</f>
        <v>#VALUE!</v>
      </c>
      <c r="I1" t="e">
        <f>AND('Air Dispersion Modeling Survey'!C2,"AAAAAD1/uQg=")</f>
        <v>#VALUE!</v>
      </c>
      <c r="J1" t="e">
        <f>AND('Air Dispersion Modeling Survey'!D2,"AAAAAD1/uQk=")</f>
        <v>#VALUE!</v>
      </c>
      <c r="K1">
        <f>IF('Air Dispersion Modeling Survey'!3:3,"AAAAAD1/uQo=",0)</f>
        <v>0</v>
      </c>
      <c r="L1" t="e">
        <f>AND('Air Dispersion Modeling Survey'!A3,"AAAAAD1/uQs=")</f>
        <v>#VALUE!</v>
      </c>
      <c r="M1" t="e">
        <f>AND('Air Dispersion Modeling Survey'!B3,"AAAAAD1/uQw=")</f>
        <v>#VALUE!</v>
      </c>
      <c r="N1" t="e">
        <f>AND('Air Dispersion Modeling Survey'!C3,"AAAAAD1/uQ0=")</f>
        <v>#VALUE!</v>
      </c>
      <c r="O1" t="e">
        <f>AND('Air Dispersion Modeling Survey'!D3,"AAAAAD1/uQ4=")</f>
        <v>#VALUE!</v>
      </c>
      <c r="P1">
        <f>IF('Air Dispersion Modeling Survey'!4:4,"AAAAAD1/uQ8=",0)</f>
        <v>0</v>
      </c>
      <c r="Q1" t="e">
        <f>AND('Air Dispersion Modeling Survey'!A4,"AAAAAD1/uRA=")</f>
        <v>#VALUE!</v>
      </c>
      <c r="R1" t="e">
        <f>AND('Air Dispersion Modeling Survey'!B4,"AAAAAD1/uRE=")</f>
        <v>#VALUE!</v>
      </c>
      <c r="S1" t="e">
        <f>AND('Air Dispersion Modeling Survey'!C4,"AAAAAD1/uRI=")</f>
        <v>#VALUE!</v>
      </c>
      <c r="T1" t="e">
        <f>AND('Air Dispersion Modeling Survey'!D4,"AAAAAD1/uRM=")</f>
        <v>#VALUE!</v>
      </c>
      <c r="U1">
        <f>IF('Air Dispersion Modeling Survey'!5:5,"AAAAAD1/uRQ=",0)</f>
        <v>0</v>
      </c>
      <c r="V1" t="e">
        <f>AND('Air Dispersion Modeling Survey'!A5,"AAAAAD1/uRU=")</f>
        <v>#VALUE!</v>
      </c>
      <c r="W1" t="e">
        <f>AND('Air Dispersion Modeling Survey'!B5,"AAAAAD1/uRY=")</f>
        <v>#VALUE!</v>
      </c>
      <c r="X1" t="e">
        <f>AND('Air Dispersion Modeling Survey'!C5,"AAAAAD1/uRc=")</f>
        <v>#VALUE!</v>
      </c>
      <c r="Y1" t="e">
        <f>AND('Air Dispersion Modeling Survey'!D5,"AAAAAD1/uRg=")</f>
        <v>#VALUE!</v>
      </c>
      <c r="Z1">
        <f>IF('Air Dispersion Modeling Survey'!6:6,"AAAAAD1/uRk=",0)</f>
        <v>0</v>
      </c>
      <c r="AA1" t="e">
        <f>AND('Air Dispersion Modeling Survey'!A6,"AAAAAD1/uRo=")</f>
        <v>#VALUE!</v>
      </c>
      <c r="AB1" t="e">
        <f>AND('Air Dispersion Modeling Survey'!B6,"AAAAAD1/uRs=")</f>
        <v>#VALUE!</v>
      </c>
      <c r="AC1" t="e">
        <f>AND('Air Dispersion Modeling Survey'!C6,"AAAAAD1/uRw=")</f>
        <v>#VALUE!</v>
      </c>
      <c r="AD1" t="e">
        <f>AND('Air Dispersion Modeling Survey'!D6,"AAAAAD1/uR0=")</f>
        <v>#VALUE!</v>
      </c>
      <c r="AE1">
        <f>IF('Air Dispersion Modeling Survey'!7:7,"AAAAAD1/uR4=",0)</f>
        <v>0</v>
      </c>
      <c r="AF1" t="e">
        <f>AND('Air Dispersion Modeling Survey'!A7,"AAAAAD1/uR8=")</f>
        <v>#VALUE!</v>
      </c>
      <c r="AG1" t="e">
        <f>AND('Air Dispersion Modeling Survey'!B7,"AAAAAD1/uSA=")</f>
        <v>#VALUE!</v>
      </c>
      <c r="AH1" t="e">
        <f>AND('Air Dispersion Modeling Survey'!C7,"AAAAAD1/uSE=")</f>
        <v>#VALUE!</v>
      </c>
      <c r="AI1" t="e">
        <f>AND('Air Dispersion Modeling Survey'!D7,"AAAAAD1/uSI=")</f>
        <v>#VALUE!</v>
      </c>
      <c r="AJ1">
        <f>IF('Air Dispersion Modeling Survey'!8:8,"AAAAAD1/uSM=",0)</f>
        <v>0</v>
      </c>
      <c r="AK1" t="e">
        <f>AND('Air Dispersion Modeling Survey'!A8,"AAAAAD1/uSQ=")</f>
        <v>#VALUE!</v>
      </c>
      <c r="AL1" t="e">
        <f>AND('Air Dispersion Modeling Survey'!B8,"AAAAAD1/uSU=")</f>
        <v>#VALUE!</v>
      </c>
      <c r="AM1" t="e">
        <f>AND('Air Dispersion Modeling Survey'!C8,"AAAAAD1/uSY=")</f>
        <v>#VALUE!</v>
      </c>
      <c r="AN1" t="e">
        <f>AND('Air Dispersion Modeling Survey'!D8,"AAAAAD1/uSc=")</f>
        <v>#VALUE!</v>
      </c>
      <c r="AO1">
        <f>IF('Air Dispersion Modeling Survey'!9:9,"AAAAAD1/uSg=",0)</f>
        <v>0</v>
      </c>
      <c r="AP1" t="e">
        <f>AND('Air Dispersion Modeling Survey'!A9,"AAAAAD1/uSk=")</f>
        <v>#VALUE!</v>
      </c>
      <c r="AQ1" t="e">
        <f>AND('Air Dispersion Modeling Survey'!B9,"AAAAAD1/uSo=")</f>
        <v>#VALUE!</v>
      </c>
      <c r="AR1" t="e">
        <f>AND('Air Dispersion Modeling Survey'!C9,"AAAAAD1/uSs=")</f>
        <v>#VALUE!</v>
      </c>
      <c r="AS1" t="e">
        <f>AND('Air Dispersion Modeling Survey'!D9,"AAAAAD1/uSw=")</f>
        <v>#VALUE!</v>
      </c>
      <c r="AT1">
        <f>IF('Air Dispersion Modeling Survey'!10:10,"AAAAAD1/uS0=",0)</f>
        <v>0</v>
      </c>
      <c r="AU1" t="e">
        <f>AND('Air Dispersion Modeling Survey'!A10,"AAAAAD1/uS4=")</f>
        <v>#VALUE!</v>
      </c>
      <c r="AV1" t="e">
        <f>AND('Air Dispersion Modeling Survey'!B10,"AAAAAD1/uS8=")</f>
        <v>#VALUE!</v>
      </c>
      <c r="AW1" t="e">
        <f>AND('Air Dispersion Modeling Survey'!C10,"AAAAAD1/uTA=")</f>
        <v>#VALUE!</v>
      </c>
      <c r="AX1" t="e">
        <f>AND('Air Dispersion Modeling Survey'!D10,"AAAAAD1/uTE=")</f>
        <v>#VALUE!</v>
      </c>
      <c r="AY1">
        <f>IF('Air Dispersion Modeling Survey'!11:11,"AAAAAD1/uTI=",0)</f>
        <v>0</v>
      </c>
      <c r="AZ1" t="e">
        <f>AND('Air Dispersion Modeling Survey'!A11,"AAAAAD1/uTM=")</f>
        <v>#VALUE!</v>
      </c>
      <c r="BA1" t="e">
        <f>AND('Air Dispersion Modeling Survey'!B11,"AAAAAD1/uTQ=")</f>
        <v>#VALUE!</v>
      </c>
      <c r="BB1" t="e">
        <f>AND('Air Dispersion Modeling Survey'!C11,"AAAAAD1/uTU=")</f>
        <v>#VALUE!</v>
      </c>
      <c r="BC1" t="e">
        <f>AND('Air Dispersion Modeling Survey'!D11,"AAAAAD1/uTY=")</f>
        <v>#VALUE!</v>
      </c>
      <c r="BD1">
        <f>IF('Air Dispersion Modeling Survey'!12:12,"AAAAAD1/uTc=",0)</f>
        <v>0</v>
      </c>
      <c r="BE1" t="e">
        <f>AND('Air Dispersion Modeling Survey'!A12,"AAAAAD1/uTg=")</f>
        <v>#VALUE!</v>
      </c>
      <c r="BF1" t="e">
        <f>AND('Air Dispersion Modeling Survey'!B12,"AAAAAD1/uTk=")</f>
        <v>#VALUE!</v>
      </c>
      <c r="BG1" t="e">
        <f>AND('Air Dispersion Modeling Survey'!C12,"AAAAAD1/uTo=")</f>
        <v>#VALUE!</v>
      </c>
      <c r="BH1" t="e">
        <f>AND('Air Dispersion Modeling Survey'!D12,"AAAAAD1/uTs=")</f>
        <v>#VALUE!</v>
      </c>
      <c r="BI1">
        <f>IF('Air Dispersion Modeling Survey'!13:13,"AAAAAD1/uTw=",0)</f>
        <v>0</v>
      </c>
      <c r="BJ1" t="e">
        <f>AND('Air Dispersion Modeling Survey'!A13,"AAAAAD1/uT0=")</f>
        <v>#VALUE!</v>
      </c>
      <c r="BK1" t="e">
        <f>AND('Air Dispersion Modeling Survey'!B13,"AAAAAD1/uT4=")</f>
        <v>#VALUE!</v>
      </c>
      <c r="BL1" t="e">
        <f>AND('Air Dispersion Modeling Survey'!C13,"AAAAAD1/uT8=")</f>
        <v>#VALUE!</v>
      </c>
      <c r="BM1" t="e">
        <f>AND('Air Dispersion Modeling Survey'!D13,"AAAAAD1/uUA=")</f>
        <v>#VALUE!</v>
      </c>
      <c r="BN1">
        <f>IF('Air Dispersion Modeling Survey'!14:14,"AAAAAD1/uUE=",0)</f>
        <v>0</v>
      </c>
      <c r="BO1" t="e">
        <f>AND('Air Dispersion Modeling Survey'!A14,"AAAAAD1/uUI=")</f>
        <v>#VALUE!</v>
      </c>
      <c r="BP1" t="e">
        <f>AND('Air Dispersion Modeling Survey'!B14,"AAAAAD1/uUM=")</f>
        <v>#VALUE!</v>
      </c>
      <c r="BQ1" t="e">
        <f>AND('Air Dispersion Modeling Survey'!C14,"AAAAAD1/uUQ=")</f>
        <v>#VALUE!</v>
      </c>
      <c r="BR1" t="e">
        <f>AND('Air Dispersion Modeling Survey'!D14,"AAAAAD1/uUU=")</f>
        <v>#VALUE!</v>
      </c>
      <c r="BS1">
        <f>IF('Air Dispersion Modeling Survey'!15:15,"AAAAAD1/uUY=",0)</f>
        <v>0</v>
      </c>
      <c r="BT1" t="e">
        <f>AND('Air Dispersion Modeling Survey'!A15,"AAAAAD1/uUc=")</f>
        <v>#VALUE!</v>
      </c>
      <c r="BU1" t="e">
        <f>AND('Air Dispersion Modeling Survey'!B15,"AAAAAD1/uUg=")</f>
        <v>#VALUE!</v>
      </c>
      <c r="BV1" t="e">
        <f>AND('Air Dispersion Modeling Survey'!C15,"AAAAAD1/uUk=")</f>
        <v>#VALUE!</v>
      </c>
      <c r="BW1" t="e">
        <f>AND('Air Dispersion Modeling Survey'!D15,"AAAAAD1/uUo=")</f>
        <v>#VALUE!</v>
      </c>
      <c r="BX1">
        <f>IF('Air Dispersion Modeling Survey'!16:16,"AAAAAD1/uUs=",0)</f>
        <v>0</v>
      </c>
      <c r="BY1" t="e">
        <f>AND('Air Dispersion Modeling Survey'!A16,"AAAAAD1/uUw=")</f>
        <v>#VALUE!</v>
      </c>
      <c r="BZ1" t="e">
        <f>AND('Air Dispersion Modeling Survey'!B16,"AAAAAD1/uU0=")</f>
        <v>#VALUE!</v>
      </c>
      <c r="CA1" t="e">
        <f>AND('Air Dispersion Modeling Survey'!C16,"AAAAAD1/uU4=")</f>
        <v>#VALUE!</v>
      </c>
      <c r="CB1" t="e">
        <f>AND('Air Dispersion Modeling Survey'!D16,"AAAAAD1/uU8=")</f>
        <v>#VALUE!</v>
      </c>
      <c r="CC1">
        <f>IF('Air Dispersion Modeling Survey'!17:17,"AAAAAD1/uVA=",0)</f>
        <v>0</v>
      </c>
      <c r="CD1" t="e">
        <f>AND('Air Dispersion Modeling Survey'!A17,"AAAAAD1/uVE=")</f>
        <v>#VALUE!</v>
      </c>
      <c r="CE1" t="e">
        <f>AND('Air Dispersion Modeling Survey'!B17,"AAAAAD1/uVI=")</f>
        <v>#VALUE!</v>
      </c>
      <c r="CF1" t="e">
        <f>AND('Air Dispersion Modeling Survey'!C17,"AAAAAD1/uVM=")</f>
        <v>#VALUE!</v>
      </c>
      <c r="CG1" t="e">
        <f>AND('Air Dispersion Modeling Survey'!D17,"AAAAAD1/uVQ=")</f>
        <v>#VALUE!</v>
      </c>
      <c r="CH1">
        <f>IF('Air Dispersion Modeling Survey'!18:18,"AAAAAD1/uVU=",0)</f>
        <v>0</v>
      </c>
      <c r="CI1" t="e">
        <f>AND('Air Dispersion Modeling Survey'!A18,"AAAAAD1/uVY=")</f>
        <v>#VALUE!</v>
      </c>
      <c r="CJ1" t="e">
        <f>AND('Air Dispersion Modeling Survey'!B18,"AAAAAD1/uVc=")</f>
        <v>#VALUE!</v>
      </c>
      <c r="CK1" t="e">
        <f>AND('Air Dispersion Modeling Survey'!C18,"AAAAAD1/uVg=")</f>
        <v>#VALUE!</v>
      </c>
      <c r="CL1" t="e">
        <f>AND('Air Dispersion Modeling Survey'!D18,"AAAAAD1/uVk=")</f>
        <v>#VALUE!</v>
      </c>
      <c r="CM1">
        <f>IF('Air Dispersion Modeling Survey'!19:19,"AAAAAD1/uVo=",0)</f>
        <v>0</v>
      </c>
      <c r="CN1" t="e">
        <f>AND('Air Dispersion Modeling Survey'!A19,"AAAAAD1/uVs=")</f>
        <v>#VALUE!</v>
      </c>
      <c r="CO1" t="e">
        <f>AND('Air Dispersion Modeling Survey'!B19,"AAAAAD1/uVw=")</f>
        <v>#VALUE!</v>
      </c>
      <c r="CP1" t="e">
        <f>AND('Air Dispersion Modeling Survey'!C19,"AAAAAD1/uV0=")</f>
        <v>#VALUE!</v>
      </c>
      <c r="CQ1" t="e">
        <f>AND('Air Dispersion Modeling Survey'!D19,"AAAAAD1/uV4=")</f>
        <v>#VALUE!</v>
      </c>
      <c r="CR1">
        <f>IF('Air Dispersion Modeling Survey'!20:20,"AAAAAD1/uV8=",0)</f>
        <v>0</v>
      </c>
      <c r="CS1" t="e">
        <f>AND('Air Dispersion Modeling Survey'!A20,"AAAAAD1/uWA=")</f>
        <v>#VALUE!</v>
      </c>
      <c r="CT1" t="e">
        <f>AND('Air Dispersion Modeling Survey'!B20,"AAAAAD1/uWE=")</f>
        <v>#VALUE!</v>
      </c>
      <c r="CU1" t="e">
        <f>AND('Air Dispersion Modeling Survey'!C20,"AAAAAD1/uWI=")</f>
        <v>#VALUE!</v>
      </c>
      <c r="CV1" t="e">
        <f>AND('Air Dispersion Modeling Survey'!D20,"AAAAAD1/uWM=")</f>
        <v>#VALUE!</v>
      </c>
      <c r="CW1">
        <f>IF('Air Dispersion Modeling Survey'!21:21,"AAAAAD1/uWQ=",0)</f>
        <v>0</v>
      </c>
      <c r="CX1" t="e">
        <f>AND('Air Dispersion Modeling Survey'!A21,"AAAAAD1/uWU=")</f>
        <v>#VALUE!</v>
      </c>
      <c r="CY1" t="e">
        <f>AND('Air Dispersion Modeling Survey'!B21,"AAAAAD1/uWY=")</f>
        <v>#VALUE!</v>
      </c>
      <c r="CZ1" t="e">
        <f>AND('Air Dispersion Modeling Survey'!C21,"AAAAAD1/uWc=")</f>
        <v>#VALUE!</v>
      </c>
      <c r="DA1" t="e">
        <f>AND('Air Dispersion Modeling Survey'!D21,"AAAAAD1/uWg=")</f>
        <v>#VALUE!</v>
      </c>
      <c r="DB1">
        <f>IF('Air Dispersion Modeling Survey'!22:22,"AAAAAD1/uWk=",0)</f>
        <v>0</v>
      </c>
      <c r="DC1" t="e">
        <f>AND('Air Dispersion Modeling Survey'!A22,"AAAAAD1/uWo=")</f>
        <v>#VALUE!</v>
      </c>
      <c r="DD1" t="e">
        <f>AND('Air Dispersion Modeling Survey'!B22,"AAAAAD1/uWs=")</f>
        <v>#VALUE!</v>
      </c>
      <c r="DE1" t="e">
        <f>AND('Air Dispersion Modeling Survey'!C22,"AAAAAD1/uWw=")</f>
        <v>#VALUE!</v>
      </c>
      <c r="DF1" t="e">
        <f>AND('Air Dispersion Modeling Survey'!D22,"AAAAAD1/uW0=")</f>
        <v>#VALUE!</v>
      </c>
      <c r="DG1">
        <f>IF('Air Dispersion Modeling Survey'!23:23,"AAAAAD1/uW4=",0)</f>
        <v>0</v>
      </c>
      <c r="DH1" t="e">
        <f>AND('Air Dispersion Modeling Survey'!A23,"AAAAAD1/uW8=")</f>
        <v>#VALUE!</v>
      </c>
      <c r="DI1" t="e">
        <f>AND('Air Dispersion Modeling Survey'!B23,"AAAAAD1/uXA=")</f>
        <v>#VALUE!</v>
      </c>
      <c r="DJ1" t="e">
        <f>AND('Air Dispersion Modeling Survey'!C23,"AAAAAD1/uXE=")</f>
        <v>#VALUE!</v>
      </c>
      <c r="DK1" t="e">
        <f>AND('Air Dispersion Modeling Survey'!D23,"AAAAAD1/uXI=")</f>
        <v>#VALUE!</v>
      </c>
      <c r="DL1">
        <f>IF('Air Dispersion Modeling Survey'!24:24,"AAAAAD1/uXM=",0)</f>
        <v>0</v>
      </c>
      <c r="DM1" t="e">
        <f>AND('Air Dispersion Modeling Survey'!A24,"AAAAAD1/uXQ=")</f>
        <v>#VALUE!</v>
      </c>
      <c r="DN1" t="e">
        <f>AND('Air Dispersion Modeling Survey'!B24,"AAAAAD1/uXU=")</f>
        <v>#VALUE!</v>
      </c>
      <c r="DO1" t="e">
        <f>AND('Air Dispersion Modeling Survey'!C24,"AAAAAD1/uXY=")</f>
        <v>#VALUE!</v>
      </c>
      <c r="DP1" t="e">
        <f>AND('Air Dispersion Modeling Survey'!D24,"AAAAAD1/uXc=")</f>
        <v>#VALUE!</v>
      </c>
      <c r="DQ1">
        <f>IF('Air Dispersion Modeling Survey'!25:25,"AAAAAD1/uXg=",0)</f>
        <v>0</v>
      </c>
      <c r="DR1" t="e">
        <f>AND('Air Dispersion Modeling Survey'!A25,"AAAAAD1/uXk=")</f>
        <v>#VALUE!</v>
      </c>
      <c r="DS1" t="e">
        <f>AND('Air Dispersion Modeling Survey'!B25,"AAAAAD1/uXo=")</f>
        <v>#VALUE!</v>
      </c>
      <c r="DT1" t="e">
        <f>AND('Air Dispersion Modeling Survey'!C25,"AAAAAD1/uXs=")</f>
        <v>#VALUE!</v>
      </c>
      <c r="DU1" t="e">
        <f>AND('Air Dispersion Modeling Survey'!D25,"AAAAAD1/uXw=")</f>
        <v>#VALUE!</v>
      </c>
      <c r="DV1">
        <f>IF('Air Dispersion Modeling Survey'!26:26,"AAAAAD1/uX0=",0)</f>
        <v>0</v>
      </c>
      <c r="DW1" t="e">
        <f>AND('Air Dispersion Modeling Survey'!A26,"AAAAAD1/uX4=")</f>
        <v>#VALUE!</v>
      </c>
      <c r="DX1" t="e">
        <f>AND('Air Dispersion Modeling Survey'!B26,"AAAAAD1/uX8=")</f>
        <v>#VALUE!</v>
      </c>
      <c r="DY1" t="e">
        <f>AND('Air Dispersion Modeling Survey'!C26,"AAAAAD1/uYA=")</f>
        <v>#VALUE!</v>
      </c>
      <c r="DZ1" t="e">
        <f>AND('Air Dispersion Modeling Survey'!D26,"AAAAAD1/uYE=")</f>
        <v>#VALUE!</v>
      </c>
      <c r="EA1">
        <f>IF('Air Dispersion Modeling Survey'!27:27,"AAAAAD1/uYI=",0)</f>
        <v>0</v>
      </c>
      <c r="EB1" t="e">
        <f>AND('Air Dispersion Modeling Survey'!A27,"AAAAAD1/uYM=")</f>
        <v>#VALUE!</v>
      </c>
      <c r="EC1" t="e">
        <f>AND('Air Dispersion Modeling Survey'!B27,"AAAAAD1/uYQ=")</f>
        <v>#VALUE!</v>
      </c>
      <c r="ED1" t="e">
        <f>AND('Air Dispersion Modeling Survey'!C27,"AAAAAD1/uYU=")</f>
        <v>#VALUE!</v>
      </c>
      <c r="EE1" t="e">
        <f>AND('Air Dispersion Modeling Survey'!D27,"AAAAAD1/uYY=")</f>
        <v>#VALUE!</v>
      </c>
      <c r="EF1">
        <f>IF('Air Dispersion Modeling Survey'!28:28,"AAAAAD1/uYc=",0)</f>
        <v>0</v>
      </c>
      <c r="EG1" t="e">
        <f>AND('Air Dispersion Modeling Survey'!A28,"AAAAAD1/uYg=")</f>
        <v>#VALUE!</v>
      </c>
      <c r="EH1" t="e">
        <f>AND('Air Dispersion Modeling Survey'!B28,"AAAAAD1/uYk=")</f>
        <v>#VALUE!</v>
      </c>
      <c r="EI1" t="e">
        <f>AND('Air Dispersion Modeling Survey'!C28,"AAAAAD1/uYo=")</f>
        <v>#VALUE!</v>
      </c>
      <c r="EJ1" t="e">
        <f>AND('Air Dispersion Modeling Survey'!D28,"AAAAAD1/uYs=")</f>
        <v>#VALUE!</v>
      </c>
      <c r="EK1">
        <f>IF('Air Dispersion Modeling Survey'!29:29,"AAAAAD1/uYw=",0)</f>
        <v>0</v>
      </c>
      <c r="EL1" t="e">
        <f>AND('Air Dispersion Modeling Survey'!A29,"AAAAAD1/uY0=")</f>
        <v>#VALUE!</v>
      </c>
      <c r="EM1" t="e">
        <f>AND('Air Dispersion Modeling Survey'!B29,"AAAAAD1/uY4=")</f>
        <v>#VALUE!</v>
      </c>
      <c r="EN1" t="e">
        <f>AND('Air Dispersion Modeling Survey'!C29,"AAAAAD1/uY8=")</f>
        <v>#VALUE!</v>
      </c>
      <c r="EO1" t="e">
        <f>AND('Air Dispersion Modeling Survey'!D29,"AAAAAD1/uZA=")</f>
        <v>#VALUE!</v>
      </c>
      <c r="EP1">
        <f>IF('Air Dispersion Modeling Survey'!30:30,"AAAAAD1/uZE=",0)</f>
        <v>0</v>
      </c>
      <c r="EQ1" t="e">
        <f>AND('Air Dispersion Modeling Survey'!A30,"AAAAAD1/uZI=")</f>
        <v>#VALUE!</v>
      </c>
      <c r="ER1" t="e">
        <f>AND('Air Dispersion Modeling Survey'!B30,"AAAAAD1/uZM=")</f>
        <v>#VALUE!</v>
      </c>
      <c r="ES1" t="e">
        <f>AND('Air Dispersion Modeling Survey'!C30,"AAAAAD1/uZQ=")</f>
        <v>#VALUE!</v>
      </c>
      <c r="ET1" t="e">
        <f>AND('Air Dispersion Modeling Survey'!D30,"AAAAAD1/uZU=")</f>
        <v>#VALUE!</v>
      </c>
      <c r="EU1">
        <f>IF('Air Dispersion Modeling Survey'!31:31,"AAAAAD1/uZY=",0)</f>
        <v>0</v>
      </c>
      <c r="EV1" t="e">
        <f>AND('Air Dispersion Modeling Survey'!A31,"AAAAAD1/uZc=")</f>
        <v>#VALUE!</v>
      </c>
      <c r="EW1" t="e">
        <f>AND('Air Dispersion Modeling Survey'!B31,"AAAAAD1/uZg=")</f>
        <v>#VALUE!</v>
      </c>
      <c r="EX1" t="e">
        <f>AND('Air Dispersion Modeling Survey'!C31,"AAAAAD1/uZk=")</f>
        <v>#VALUE!</v>
      </c>
      <c r="EY1" t="e">
        <f>AND('Air Dispersion Modeling Survey'!D31,"AAAAAD1/uZo=")</f>
        <v>#VALUE!</v>
      </c>
      <c r="EZ1">
        <f>IF('Air Dispersion Modeling Survey'!32:32,"AAAAAD1/uZs=",0)</f>
        <v>0</v>
      </c>
      <c r="FA1" t="e">
        <f>AND('Air Dispersion Modeling Survey'!A32,"AAAAAD1/uZw=")</f>
        <v>#VALUE!</v>
      </c>
      <c r="FB1" t="e">
        <f>AND('Air Dispersion Modeling Survey'!B32,"AAAAAD1/uZ0=")</f>
        <v>#VALUE!</v>
      </c>
      <c r="FC1" t="e">
        <f>AND('Air Dispersion Modeling Survey'!C32,"AAAAAD1/uZ4=")</f>
        <v>#VALUE!</v>
      </c>
      <c r="FD1" t="e">
        <f>AND('Air Dispersion Modeling Survey'!D32,"AAAAAD1/uZ8=")</f>
        <v>#VALUE!</v>
      </c>
      <c r="FE1">
        <f>IF('Air Dispersion Modeling Survey'!33:33,"AAAAAD1/uaA=",0)</f>
        <v>0</v>
      </c>
      <c r="FF1" t="e">
        <f>AND('Air Dispersion Modeling Survey'!A33,"AAAAAD1/uaE=")</f>
        <v>#VALUE!</v>
      </c>
      <c r="FG1" t="e">
        <f>AND('Air Dispersion Modeling Survey'!B33,"AAAAAD1/uaI=")</f>
        <v>#VALUE!</v>
      </c>
      <c r="FH1" t="e">
        <f>AND('Air Dispersion Modeling Survey'!C33,"AAAAAD1/uaM=")</f>
        <v>#VALUE!</v>
      </c>
      <c r="FI1" t="e">
        <f>AND('Air Dispersion Modeling Survey'!D33,"AAAAAD1/uaQ=")</f>
        <v>#VALUE!</v>
      </c>
      <c r="FJ1">
        <f>IF('Air Dispersion Modeling Survey'!34:34,"AAAAAD1/uaU=",0)</f>
        <v>0</v>
      </c>
      <c r="FK1" t="e">
        <f>AND('Air Dispersion Modeling Survey'!A34,"AAAAAD1/uaY=")</f>
        <v>#VALUE!</v>
      </c>
      <c r="FL1" t="e">
        <f>AND('Air Dispersion Modeling Survey'!B34,"AAAAAD1/uac=")</f>
        <v>#VALUE!</v>
      </c>
      <c r="FM1" t="e">
        <f>AND('Air Dispersion Modeling Survey'!C34,"AAAAAD1/uag=")</f>
        <v>#VALUE!</v>
      </c>
      <c r="FN1" t="e">
        <f>AND('Air Dispersion Modeling Survey'!D34,"AAAAAD1/uak=")</f>
        <v>#VALUE!</v>
      </c>
      <c r="FO1">
        <f>IF('Air Dispersion Modeling Survey'!35:35,"AAAAAD1/uao=",0)</f>
        <v>0</v>
      </c>
      <c r="FP1" t="e">
        <f>AND('Air Dispersion Modeling Survey'!A35,"AAAAAD1/uas=")</f>
        <v>#VALUE!</v>
      </c>
      <c r="FQ1" t="e">
        <f>AND('Air Dispersion Modeling Survey'!B35,"AAAAAD1/uaw=")</f>
        <v>#VALUE!</v>
      </c>
      <c r="FR1" t="e">
        <f>AND('Air Dispersion Modeling Survey'!C35,"AAAAAD1/ua0=")</f>
        <v>#VALUE!</v>
      </c>
      <c r="FS1" t="e">
        <f>AND('Air Dispersion Modeling Survey'!D35,"AAAAAD1/ua4=")</f>
        <v>#VALUE!</v>
      </c>
      <c r="FT1">
        <f>IF('Air Dispersion Modeling Survey'!36:36,"AAAAAD1/ua8=",0)</f>
        <v>0</v>
      </c>
      <c r="FU1" t="e">
        <f>AND('Air Dispersion Modeling Survey'!A36,"AAAAAD1/ubA=")</f>
        <v>#VALUE!</v>
      </c>
      <c r="FV1" t="e">
        <f>AND('Air Dispersion Modeling Survey'!B36,"AAAAAD1/ubE=")</f>
        <v>#VALUE!</v>
      </c>
      <c r="FW1" t="e">
        <f>AND('Air Dispersion Modeling Survey'!C36,"AAAAAD1/ubI=")</f>
        <v>#VALUE!</v>
      </c>
      <c r="FX1" t="e">
        <f>AND('Air Dispersion Modeling Survey'!D36,"AAAAAD1/ubM=")</f>
        <v>#VALUE!</v>
      </c>
      <c r="FY1">
        <f>IF('Air Dispersion Modeling Survey'!37:37,"AAAAAD1/ubQ=",0)</f>
        <v>0</v>
      </c>
      <c r="FZ1" t="e">
        <f>AND('Air Dispersion Modeling Survey'!A37,"AAAAAD1/ubU=")</f>
        <v>#VALUE!</v>
      </c>
      <c r="GA1" t="e">
        <f>AND('Air Dispersion Modeling Survey'!B37,"AAAAAD1/ubY=")</f>
        <v>#VALUE!</v>
      </c>
      <c r="GB1" t="e">
        <f>AND('Air Dispersion Modeling Survey'!C37,"AAAAAD1/ubc=")</f>
        <v>#VALUE!</v>
      </c>
      <c r="GC1" t="e">
        <f>AND('Air Dispersion Modeling Survey'!D37,"AAAAAD1/ubg=")</f>
        <v>#VALUE!</v>
      </c>
      <c r="GD1">
        <f>IF('Air Dispersion Modeling Survey'!38:38,"AAAAAD1/ubk=",0)</f>
        <v>0</v>
      </c>
      <c r="GE1" t="e">
        <f>AND('Air Dispersion Modeling Survey'!A38,"AAAAAD1/ubo=")</f>
        <v>#VALUE!</v>
      </c>
      <c r="GF1" t="e">
        <f>AND('Air Dispersion Modeling Survey'!B38,"AAAAAD1/ubs=")</f>
        <v>#VALUE!</v>
      </c>
      <c r="GG1" t="e">
        <f>AND('Air Dispersion Modeling Survey'!C38,"AAAAAD1/ubw=")</f>
        <v>#VALUE!</v>
      </c>
      <c r="GH1" t="e">
        <f>AND('Air Dispersion Modeling Survey'!D38,"AAAAAD1/ub0=")</f>
        <v>#VALUE!</v>
      </c>
      <c r="GI1">
        <f>IF('Air Dispersion Modeling Survey'!39:39,"AAAAAD1/ub4=",0)</f>
        <v>0</v>
      </c>
      <c r="GJ1" t="e">
        <f>AND('Air Dispersion Modeling Survey'!A39,"AAAAAD1/ub8=")</f>
        <v>#VALUE!</v>
      </c>
      <c r="GK1" t="e">
        <f>AND('Air Dispersion Modeling Survey'!B39,"AAAAAD1/ucA=")</f>
        <v>#VALUE!</v>
      </c>
      <c r="GL1" t="e">
        <f>AND('Air Dispersion Modeling Survey'!C39,"AAAAAD1/ucE=")</f>
        <v>#VALUE!</v>
      </c>
      <c r="GM1" t="e">
        <f>AND('Air Dispersion Modeling Survey'!D39,"AAAAAD1/ucI=")</f>
        <v>#VALUE!</v>
      </c>
      <c r="GN1">
        <f>IF('Air Dispersion Modeling Survey'!40:40,"AAAAAD1/ucM=",0)</f>
        <v>0</v>
      </c>
      <c r="GO1" t="e">
        <f>AND('Air Dispersion Modeling Survey'!A40,"AAAAAD1/ucQ=")</f>
        <v>#VALUE!</v>
      </c>
      <c r="GP1" t="e">
        <f>AND('Air Dispersion Modeling Survey'!B40,"AAAAAD1/ucU=")</f>
        <v>#VALUE!</v>
      </c>
      <c r="GQ1" t="e">
        <f>AND('Air Dispersion Modeling Survey'!C40,"AAAAAD1/ucY=")</f>
        <v>#VALUE!</v>
      </c>
      <c r="GR1" t="e">
        <f>AND('Air Dispersion Modeling Survey'!D40,"AAAAAD1/ucc=")</f>
        <v>#VALUE!</v>
      </c>
      <c r="GS1">
        <f>IF('Air Dispersion Modeling Survey'!41:41,"AAAAAD1/ucg=",0)</f>
        <v>0</v>
      </c>
      <c r="GT1" t="e">
        <f>AND('Air Dispersion Modeling Survey'!A41,"AAAAAD1/uck=")</f>
        <v>#VALUE!</v>
      </c>
      <c r="GU1" t="e">
        <f>AND('Air Dispersion Modeling Survey'!B41,"AAAAAD1/uco=")</f>
        <v>#VALUE!</v>
      </c>
      <c r="GV1" t="e">
        <f>AND('Air Dispersion Modeling Survey'!C41,"AAAAAD1/ucs=")</f>
        <v>#VALUE!</v>
      </c>
      <c r="GW1" t="e">
        <f>AND('Air Dispersion Modeling Survey'!D41,"AAAAAD1/ucw=")</f>
        <v>#VALUE!</v>
      </c>
      <c r="GX1">
        <f>IF('Air Dispersion Modeling Survey'!42:42,"AAAAAD1/uc0=",0)</f>
        <v>0</v>
      </c>
      <c r="GY1" t="e">
        <f>AND('Air Dispersion Modeling Survey'!A42,"AAAAAD1/uc4=")</f>
        <v>#VALUE!</v>
      </c>
      <c r="GZ1" t="e">
        <f>AND('Air Dispersion Modeling Survey'!B42,"AAAAAD1/uc8=")</f>
        <v>#VALUE!</v>
      </c>
      <c r="HA1" t="e">
        <f>AND('Air Dispersion Modeling Survey'!C42,"AAAAAD1/udA=")</f>
        <v>#VALUE!</v>
      </c>
      <c r="HB1" t="e">
        <f>AND('Air Dispersion Modeling Survey'!D42,"AAAAAD1/udE=")</f>
        <v>#VALUE!</v>
      </c>
      <c r="HC1">
        <f>IF('Air Dispersion Modeling Survey'!43:43,"AAAAAD1/udI=",0)</f>
        <v>0</v>
      </c>
      <c r="HD1" t="e">
        <f>AND('Air Dispersion Modeling Survey'!A43,"AAAAAD1/udM=")</f>
        <v>#VALUE!</v>
      </c>
      <c r="HE1" t="e">
        <f>AND('Air Dispersion Modeling Survey'!B43,"AAAAAD1/udQ=")</f>
        <v>#VALUE!</v>
      </c>
      <c r="HF1" t="e">
        <f>AND('Air Dispersion Modeling Survey'!C43,"AAAAAD1/udU=")</f>
        <v>#VALUE!</v>
      </c>
      <c r="HG1" t="e">
        <f>AND('Air Dispersion Modeling Survey'!D43,"AAAAAD1/udY=")</f>
        <v>#VALUE!</v>
      </c>
      <c r="HH1">
        <f>IF('Air Dispersion Modeling Survey'!44:44,"AAAAAD1/udc=",0)</f>
        <v>0</v>
      </c>
      <c r="HI1" t="e">
        <f>AND('Air Dispersion Modeling Survey'!A44,"AAAAAD1/udg=")</f>
        <v>#VALUE!</v>
      </c>
      <c r="HJ1" t="e">
        <f>AND('Air Dispersion Modeling Survey'!B44,"AAAAAD1/udk=")</f>
        <v>#VALUE!</v>
      </c>
      <c r="HK1" t="e">
        <f>AND('Air Dispersion Modeling Survey'!C44,"AAAAAD1/udo=")</f>
        <v>#VALUE!</v>
      </c>
      <c r="HL1" t="e">
        <f>AND('Air Dispersion Modeling Survey'!D44,"AAAAAD1/uds=")</f>
        <v>#VALUE!</v>
      </c>
      <c r="HM1">
        <f>IF('Air Dispersion Modeling Survey'!45:45,"AAAAAD1/udw=",0)</f>
        <v>0</v>
      </c>
      <c r="HN1" t="e">
        <f>AND('Air Dispersion Modeling Survey'!A45,"AAAAAD1/ud0=")</f>
        <v>#VALUE!</v>
      </c>
      <c r="HO1" t="e">
        <f>AND('Air Dispersion Modeling Survey'!B45,"AAAAAD1/ud4=")</f>
        <v>#VALUE!</v>
      </c>
      <c r="HP1" t="e">
        <f>AND('Air Dispersion Modeling Survey'!C45,"AAAAAD1/ud8=")</f>
        <v>#VALUE!</v>
      </c>
      <c r="HQ1" t="e">
        <f>AND('Air Dispersion Modeling Survey'!D45,"AAAAAD1/ueA=")</f>
        <v>#VALUE!</v>
      </c>
      <c r="HR1">
        <f>IF('Air Dispersion Modeling Survey'!46:46,"AAAAAD1/ueE=",0)</f>
        <v>0</v>
      </c>
      <c r="HS1" t="e">
        <f>AND('Air Dispersion Modeling Survey'!A46,"AAAAAD1/ueI=")</f>
        <v>#VALUE!</v>
      </c>
      <c r="HT1" t="e">
        <f>AND('Air Dispersion Modeling Survey'!B46,"AAAAAD1/ueM=")</f>
        <v>#VALUE!</v>
      </c>
      <c r="HU1" t="e">
        <f>AND('Air Dispersion Modeling Survey'!C46,"AAAAAD1/ueQ=")</f>
        <v>#VALUE!</v>
      </c>
      <c r="HV1" t="e">
        <f>AND('Air Dispersion Modeling Survey'!D46,"AAAAAD1/ueU=")</f>
        <v>#VALUE!</v>
      </c>
      <c r="HW1">
        <f>IF('Air Dispersion Modeling Survey'!47:47,"AAAAAD1/ueY=",0)</f>
        <v>0</v>
      </c>
      <c r="HX1" t="e">
        <f>AND('Air Dispersion Modeling Survey'!A47,"AAAAAD1/uec=")</f>
        <v>#VALUE!</v>
      </c>
      <c r="HY1" t="e">
        <f>AND('Air Dispersion Modeling Survey'!B47,"AAAAAD1/ueg=")</f>
        <v>#VALUE!</v>
      </c>
      <c r="HZ1" t="e">
        <f>AND('Air Dispersion Modeling Survey'!C47,"AAAAAD1/uek=")</f>
        <v>#VALUE!</v>
      </c>
      <c r="IA1" t="e">
        <f>AND('Air Dispersion Modeling Survey'!D47,"AAAAAD1/ueo=")</f>
        <v>#VALUE!</v>
      </c>
      <c r="IB1">
        <f>IF('Air Dispersion Modeling Survey'!48:48,"AAAAAD1/ues=",0)</f>
        <v>0</v>
      </c>
      <c r="IC1" t="e">
        <f>AND('Air Dispersion Modeling Survey'!A48,"AAAAAD1/uew=")</f>
        <v>#VALUE!</v>
      </c>
      <c r="ID1" t="e">
        <f>AND('Air Dispersion Modeling Survey'!B48,"AAAAAD1/ue0=")</f>
        <v>#VALUE!</v>
      </c>
      <c r="IE1" t="e">
        <f>AND('Air Dispersion Modeling Survey'!C48,"AAAAAD1/ue4=")</f>
        <v>#VALUE!</v>
      </c>
      <c r="IF1" t="e">
        <f>AND('Air Dispersion Modeling Survey'!D48,"AAAAAD1/ue8=")</f>
        <v>#VALUE!</v>
      </c>
      <c r="IG1">
        <f>IF('Air Dispersion Modeling Survey'!49:49,"AAAAAD1/ufA=",0)</f>
        <v>0</v>
      </c>
      <c r="IH1" t="e">
        <f>AND('Air Dispersion Modeling Survey'!A49,"AAAAAD1/ufE=")</f>
        <v>#VALUE!</v>
      </c>
      <c r="II1" t="e">
        <f>AND('Air Dispersion Modeling Survey'!B49,"AAAAAD1/ufI=")</f>
        <v>#VALUE!</v>
      </c>
      <c r="IJ1" t="e">
        <f>AND('Air Dispersion Modeling Survey'!C49,"AAAAAD1/ufM=")</f>
        <v>#VALUE!</v>
      </c>
      <c r="IK1" t="e">
        <f>AND('Air Dispersion Modeling Survey'!D49,"AAAAAD1/ufQ=")</f>
        <v>#VALUE!</v>
      </c>
      <c r="IL1">
        <f>IF('Air Dispersion Modeling Survey'!50:50,"AAAAAD1/ufU=",0)</f>
        <v>0</v>
      </c>
      <c r="IM1" t="e">
        <f>AND('Air Dispersion Modeling Survey'!A50,"AAAAAD1/ufY=")</f>
        <v>#VALUE!</v>
      </c>
      <c r="IN1" t="e">
        <f>AND('Air Dispersion Modeling Survey'!B50,"AAAAAD1/ufc=")</f>
        <v>#VALUE!</v>
      </c>
      <c r="IO1" t="e">
        <f>AND('Air Dispersion Modeling Survey'!C50,"AAAAAD1/ufg=")</f>
        <v>#VALUE!</v>
      </c>
      <c r="IP1" t="e">
        <f>AND('Air Dispersion Modeling Survey'!D50,"AAAAAD1/ufk=")</f>
        <v>#VALUE!</v>
      </c>
      <c r="IQ1">
        <f>IF('Air Dispersion Modeling Survey'!51:51,"AAAAAD1/ufo=",0)</f>
        <v>0</v>
      </c>
      <c r="IR1" t="e">
        <f>AND('Air Dispersion Modeling Survey'!A51,"AAAAAD1/ufs=")</f>
        <v>#VALUE!</v>
      </c>
      <c r="IS1" t="e">
        <f>AND('Air Dispersion Modeling Survey'!B51,"AAAAAD1/ufw=")</f>
        <v>#VALUE!</v>
      </c>
      <c r="IT1" t="e">
        <f>AND('Air Dispersion Modeling Survey'!C51,"AAAAAD1/uf0=")</f>
        <v>#VALUE!</v>
      </c>
      <c r="IU1" t="e">
        <f>AND('Air Dispersion Modeling Survey'!D51,"AAAAAD1/uf4=")</f>
        <v>#VALUE!</v>
      </c>
      <c r="IV1">
        <f>IF('Air Dispersion Modeling Survey'!52:52,"AAAAAD1/uf8=",0)</f>
        <v>0</v>
      </c>
    </row>
    <row r="2" spans="1:256" ht="15">
      <c r="A2" t="e">
        <f>AND('Air Dispersion Modeling Survey'!A52,"AAAAAFW6WwA=")</f>
        <v>#VALUE!</v>
      </c>
      <c r="B2" t="e">
        <f>AND('Air Dispersion Modeling Survey'!B52,"AAAAAFW6WwE=")</f>
        <v>#VALUE!</v>
      </c>
      <c r="C2" t="e">
        <f>AND('Air Dispersion Modeling Survey'!C52,"AAAAAFW6WwI=")</f>
        <v>#VALUE!</v>
      </c>
      <c r="D2" t="e">
        <f>AND('Air Dispersion Modeling Survey'!D52,"AAAAAFW6WwM=")</f>
        <v>#VALUE!</v>
      </c>
      <c r="E2">
        <f>IF('Air Dispersion Modeling Survey'!53:53,"AAAAAFW6WwQ=",0)</f>
        <v>0</v>
      </c>
      <c r="F2" t="e">
        <f>AND('Air Dispersion Modeling Survey'!A53,"AAAAAFW6WwU=")</f>
        <v>#VALUE!</v>
      </c>
      <c r="G2" t="e">
        <f>AND('Air Dispersion Modeling Survey'!B53,"AAAAAFW6WwY=")</f>
        <v>#VALUE!</v>
      </c>
      <c r="H2" t="e">
        <f>AND('Air Dispersion Modeling Survey'!C53,"AAAAAFW6Wwc=")</f>
        <v>#VALUE!</v>
      </c>
      <c r="I2" t="e">
        <f>AND('Air Dispersion Modeling Survey'!D53,"AAAAAFW6Wwg=")</f>
        <v>#VALUE!</v>
      </c>
      <c r="J2">
        <f>IF('Air Dispersion Modeling Survey'!54:54,"AAAAAFW6Wwk=",0)</f>
        <v>0</v>
      </c>
      <c r="K2" t="e">
        <f>AND('Air Dispersion Modeling Survey'!A54,"AAAAAFW6Wwo=")</f>
        <v>#VALUE!</v>
      </c>
      <c r="L2" t="e">
        <f>AND('Air Dispersion Modeling Survey'!B54,"AAAAAFW6Wws=")</f>
        <v>#VALUE!</v>
      </c>
      <c r="M2" t="e">
        <f>AND('Air Dispersion Modeling Survey'!C54,"AAAAAFW6Www=")</f>
        <v>#VALUE!</v>
      </c>
      <c r="N2" t="e">
        <f>AND('Air Dispersion Modeling Survey'!D54,"AAAAAFW6Ww0=")</f>
        <v>#VALUE!</v>
      </c>
      <c r="O2">
        <f>IF('Air Dispersion Modeling Survey'!55:55,"AAAAAFW6Ww4=",0)</f>
        <v>0</v>
      </c>
      <c r="P2" t="e">
        <f>AND('Air Dispersion Modeling Survey'!A55,"AAAAAFW6Ww8=")</f>
        <v>#VALUE!</v>
      </c>
      <c r="Q2" t="e">
        <f>AND('Air Dispersion Modeling Survey'!B55,"AAAAAFW6WxA=")</f>
        <v>#VALUE!</v>
      </c>
      <c r="R2" t="e">
        <f>AND('Air Dispersion Modeling Survey'!C55,"AAAAAFW6WxE=")</f>
        <v>#VALUE!</v>
      </c>
      <c r="S2" t="e">
        <f>AND('Air Dispersion Modeling Survey'!D55,"AAAAAFW6WxI=")</f>
        <v>#VALUE!</v>
      </c>
      <c r="T2">
        <f>IF('Air Dispersion Modeling Survey'!56:56,"AAAAAFW6WxM=",0)</f>
        <v>0</v>
      </c>
      <c r="U2" t="e">
        <f>AND('Air Dispersion Modeling Survey'!A56,"AAAAAFW6WxQ=")</f>
        <v>#VALUE!</v>
      </c>
      <c r="V2" t="e">
        <f>AND('Air Dispersion Modeling Survey'!B56,"AAAAAFW6WxU=")</f>
        <v>#VALUE!</v>
      </c>
      <c r="W2" t="e">
        <f>AND('Air Dispersion Modeling Survey'!C56,"AAAAAFW6WxY=")</f>
        <v>#VALUE!</v>
      </c>
      <c r="X2" t="e">
        <f>AND('Air Dispersion Modeling Survey'!D56,"AAAAAFW6Wxc=")</f>
        <v>#VALUE!</v>
      </c>
      <c r="Y2">
        <f>IF('Air Dispersion Modeling Survey'!57:57,"AAAAAFW6Wxg=",0)</f>
        <v>0</v>
      </c>
      <c r="Z2" t="e">
        <f>AND('Air Dispersion Modeling Survey'!A57,"AAAAAFW6Wxk=")</f>
        <v>#VALUE!</v>
      </c>
      <c r="AA2" t="e">
        <f>AND('Air Dispersion Modeling Survey'!B57,"AAAAAFW6Wxo=")</f>
        <v>#VALUE!</v>
      </c>
      <c r="AB2" t="e">
        <f>AND('Air Dispersion Modeling Survey'!C57,"AAAAAFW6Wxs=")</f>
        <v>#VALUE!</v>
      </c>
      <c r="AC2" t="e">
        <f>AND('Air Dispersion Modeling Survey'!D57,"AAAAAFW6Wxw=")</f>
        <v>#VALUE!</v>
      </c>
      <c r="AD2">
        <f>IF('Air Dispersion Modeling Survey'!58:58,"AAAAAFW6Wx0=",0)</f>
        <v>0</v>
      </c>
      <c r="AE2" t="e">
        <f>AND('Air Dispersion Modeling Survey'!A58,"AAAAAFW6Wx4=")</f>
        <v>#VALUE!</v>
      </c>
      <c r="AF2" t="e">
        <f>AND('Air Dispersion Modeling Survey'!B58,"AAAAAFW6Wx8=")</f>
        <v>#VALUE!</v>
      </c>
      <c r="AG2" t="e">
        <f>AND('Air Dispersion Modeling Survey'!C58,"AAAAAFW6WyA=")</f>
        <v>#VALUE!</v>
      </c>
      <c r="AH2" t="e">
        <f>AND('Air Dispersion Modeling Survey'!D58,"AAAAAFW6WyE=")</f>
        <v>#VALUE!</v>
      </c>
      <c r="AI2">
        <f>IF('Air Dispersion Modeling Survey'!59:59,"AAAAAFW6WyI=",0)</f>
        <v>0</v>
      </c>
      <c r="AJ2" t="e">
        <f>AND('Air Dispersion Modeling Survey'!A59,"AAAAAFW6WyM=")</f>
        <v>#VALUE!</v>
      </c>
      <c r="AK2" t="e">
        <f>AND('Air Dispersion Modeling Survey'!B59,"AAAAAFW6WyQ=")</f>
        <v>#VALUE!</v>
      </c>
      <c r="AL2" t="e">
        <f>AND('Air Dispersion Modeling Survey'!C59,"AAAAAFW6WyU=")</f>
        <v>#VALUE!</v>
      </c>
      <c r="AM2" t="e">
        <f>AND('Air Dispersion Modeling Survey'!D59,"AAAAAFW6WyY=")</f>
        <v>#VALUE!</v>
      </c>
      <c r="AN2">
        <f>IF('Air Dispersion Modeling Survey'!60:60,"AAAAAFW6Wyc=",0)</f>
        <v>0</v>
      </c>
      <c r="AO2" t="e">
        <f>AND('Air Dispersion Modeling Survey'!A60,"AAAAAFW6Wyg=")</f>
        <v>#VALUE!</v>
      </c>
      <c r="AP2" t="e">
        <f>AND('Air Dispersion Modeling Survey'!B60,"AAAAAFW6Wyk=")</f>
        <v>#VALUE!</v>
      </c>
      <c r="AQ2" t="e">
        <f>AND('Air Dispersion Modeling Survey'!C60,"AAAAAFW6Wyo=")</f>
        <v>#VALUE!</v>
      </c>
      <c r="AR2" t="e">
        <f>AND('Air Dispersion Modeling Survey'!D60,"AAAAAFW6Wys=")</f>
        <v>#VALUE!</v>
      </c>
      <c r="AS2">
        <f>IF('Air Dispersion Modeling Survey'!61:61,"AAAAAFW6Wyw=",0)</f>
        <v>0</v>
      </c>
      <c r="AT2" t="e">
        <f>AND('Air Dispersion Modeling Survey'!A61,"AAAAAFW6Wy0=")</f>
        <v>#VALUE!</v>
      </c>
      <c r="AU2" t="e">
        <f>AND('Air Dispersion Modeling Survey'!B61,"AAAAAFW6Wy4=")</f>
        <v>#VALUE!</v>
      </c>
      <c r="AV2" t="e">
        <f>AND('Air Dispersion Modeling Survey'!C61,"AAAAAFW6Wy8=")</f>
        <v>#VALUE!</v>
      </c>
      <c r="AW2" t="e">
        <f>AND('Air Dispersion Modeling Survey'!D61,"AAAAAFW6WzA=")</f>
        <v>#VALUE!</v>
      </c>
      <c r="AX2">
        <f>IF('Air Dispersion Modeling Survey'!62:62,"AAAAAFW6WzE=",0)</f>
        <v>0</v>
      </c>
      <c r="AY2" t="e">
        <f>AND('Air Dispersion Modeling Survey'!A62,"AAAAAFW6WzI=")</f>
        <v>#VALUE!</v>
      </c>
      <c r="AZ2" t="e">
        <f>AND('Air Dispersion Modeling Survey'!B62,"AAAAAFW6WzM=")</f>
        <v>#VALUE!</v>
      </c>
      <c r="BA2" t="e">
        <f>AND('Air Dispersion Modeling Survey'!C62,"AAAAAFW6WzQ=")</f>
        <v>#VALUE!</v>
      </c>
      <c r="BB2" t="e">
        <f>AND('Air Dispersion Modeling Survey'!D62,"AAAAAFW6WzU=")</f>
        <v>#VALUE!</v>
      </c>
      <c r="BC2">
        <f>IF('Air Dispersion Modeling Survey'!63:63,"AAAAAFW6WzY=",0)</f>
        <v>0</v>
      </c>
      <c r="BD2" t="e">
        <f>AND('Air Dispersion Modeling Survey'!A63,"AAAAAFW6Wzc=")</f>
        <v>#VALUE!</v>
      </c>
      <c r="BE2" t="e">
        <f>AND('Air Dispersion Modeling Survey'!B63,"AAAAAFW6Wzg=")</f>
        <v>#VALUE!</v>
      </c>
      <c r="BF2" t="e">
        <f>AND('Air Dispersion Modeling Survey'!C63,"AAAAAFW6Wzk=")</f>
        <v>#VALUE!</v>
      </c>
      <c r="BG2" t="e">
        <f>AND('Air Dispersion Modeling Survey'!D63,"AAAAAFW6Wzo=")</f>
        <v>#VALUE!</v>
      </c>
      <c r="BH2">
        <f>IF('Air Dispersion Modeling Survey'!64:64,"AAAAAFW6Wzs=",0)</f>
        <v>0</v>
      </c>
      <c r="BI2" t="e">
        <f>AND('Air Dispersion Modeling Survey'!A64,"AAAAAFW6Wzw=")</f>
        <v>#VALUE!</v>
      </c>
      <c r="BJ2" t="e">
        <f>AND('Air Dispersion Modeling Survey'!B64,"AAAAAFW6Wz0=")</f>
        <v>#VALUE!</v>
      </c>
      <c r="BK2" t="e">
        <f>AND('Air Dispersion Modeling Survey'!C64,"AAAAAFW6Wz4=")</f>
        <v>#VALUE!</v>
      </c>
      <c r="BL2" t="e">
        <f>AND('Air Dispersion Modeling Survey'!D64,"AAAAAFW6Wz8=")</f>
        <v>#VALUE!</v>
      </c>
      <c r="BM2">
        <f>IF('Air Dispersion Modeling Survey'!65:65,"AAAAAFW6W0A=",0)</f>
        <v>0</v>
      </c>
      <c r="BN2" t="e">
        <f>AND('Air Dispersion Modeling Survey'!A65,"AAAAAFW6W0E=")</f>
        <v>#VALUE!</v>
      </c>
      <c r="BO2" t="e">
        <f>AND('Air Dispersion Modeling Survey'!B65,"AAAAAFW6W0I=")</f>
        <v>#VALUE!</v>
      </c>
      <c r="BP2" t="e">
        <f>AND('Air Dispersion Modeling Survey'!C65,"AAAAAFW6W0M=")</f>
        <v>#VALUE!</v>
      </c>
      <c r="BQ2" t="e">
        <f>AND('Air Dispersion Modeling Survey'!D65,"AAAAAFW6W0Q=")</f>
        <v>#VALUE!</v>
      </c>
      <c r="BR2">
        <f>IF('Air Dispersion Modeling Survey'!66:66,"AAAAAFW6W0U=",0)</f>
        <v>0</v>
      </c>
      <c r="BS2" t="e">
        <f>AND('Air Dispersion Modeling Survey'!A66,"AAAAAFW6W0Y=")</f>
        <v>#VALUE!</v>
      </c>
      <c r="BT2" t="e">
        <f>AND('Air Dispersion Modeling Survey'!B66,"AAAAAFW6W0c=")</f>
        <v>#VALUE!</v>
      </c>
      <c r="BU2" t="e">
        <f>AND('Air Dispersion Modeling Survey'!C66,"AAAAAFW6W0g=")</f>
        <v>#VALUE!</v>
      </c>
      <c r="BV2" t="e">
        <f>AND('Air Dispersion Modeling Survey'!D66,"AAAAAFW6W0k=")</f>
        <v>#VALUE!</v>
      </c>
      <c r="BW2">
        <f>IF('Air Dispersion Modeling Survey'!67:67,"AAAAAFW6W0o=",0)</f>
        <v>0</v>
      </c>
      <c r="BX2" t="e">
        <f>AND('Air Dispersion Modeling Survey'!A67,"AAAAAFW6W0s=")</f>
        <v>#VALUE!</v>
      </c>
      <c r="BY2" t="e">
        <f>AND('Air Dispersion Modeling Survey'!B67,"AAAAAFW6W0w=")</f>
        <v>#VALUE!</v>
      </c>
      <c r="BZ2" t="e">
        <f>AND('Air Dispersion Modeling Survey'!C67,"AAAAAFW6W00=")</f>
        <v>#VALUE!</v>
      </c>
      <c r="CA2" t="e">
        <f>AND('Air Dispersion Modeling Survey'!D67,"AAAAAFW6W04=")</f>
        <v>#VALUE!</v>
      </c>
      <c r="CB2">
        <f>IF('Air Dispersion Modeling Survey'!68:68,"AAAAAFW6W08=",0)</f>
        <v>0</v>
      </c>
      <c r="CC2" t="e">
        <f>AND('Air Dispersion Modeling Survey'!A68,"AAAAAFW6W1A=")</f>
        <v>#VALUE!</v>
      </c>
      <c r="CD2" t="e">
        <f>AND('Air Dispersion Modeling Survey'!B68,"AAAAAFW6W1E=")</f>
        <v>#VALUE!</v>
      </c>
      <c r="CE2" t="e">
        <f>AND('Air Dispersion Modeling Survey'!C68,"AAAAAFW6W1I=")</f>
        <v>#VALUE!</v>
      </c>
      <c r="CF2" t="e">
        <f>AND('Air Dispersion Modeling Survey'!D68,"AAAAAFW6W1M=")</f>
        <v>#VALUE!</v>
      </c>
      <c r="CG2">
        <f>IF('Air Dispersion Modeling Survey'!69:69,"AAAAAFW6W1Q=",0)</f>
        <v>0</v>
      </c>
      <c r="CH2" t="e">
        <f>AND('Air Dispersion Modeling Survey'!A69,"AAAAAFW6W1U=")</f>
        <v>#VALUE!</v>
      </c>
      <c r="CI2" t="e">
        <f>AND('Air Dispersion Modeling Survey'!B69,"AAAAAFW6W1Y=")</f>
        <v>#VALUE!</v>
      </c>
      <c r="CJ2" t="e">
        <f>AND('Air Dispersion Modeling Survey'!C69,"AAAAAFW6W1c=")</f>
        <v>#VALUE!</v>
      </c>
      <c r="CK2" t="e">
        <f>AND('Air Dispersion Modeling Survey'!D69,"AAAAAFW6W1g=")</f>
        <v>#VALUE!</v>
      </c>
      <c r="CL2">
        <f>IF('Air Dispersion Modeling Survey'!70:70,"AAAAAFW6W1k=",0)</f>
        <v>0</v>
      </c>
      <c r="CM2" t="e">
        <f>AND('Air Dispersion Modeling Survey'!A70,"AAAAAFW6W1o=")</f>
        <v>#VALUE!</v>
      </c>
      <c r="CN2" t="e">
        <f>AND('Air Dispersion Modeling Survey'!B70,"AAAAAFW6W1s=")</f>
        <v>#VALUE!</v>
      </c>
      <c r="CO2" t="e">
        <f>AND('Air Dispersion Modeling Survey'!C70,"AAAAAFW6W1w=")</f>
        <v>#VALUE!</v>
      </c>
      <c r="CP2" t="e">
        <f>AND('Air Dispersion Modeling Survey'!D70,"AAAAAFW6W10=")</f>
        <v>#VALUE!</v>
      </c>
      <c r="CQ2">
        <f>IF('Air Dispersion Modeling Survey'!71:71,"AAAAAFW6W14=",0)</f>
        <v>0</v>
      </c>
      <c r="CR2" t="e">
        <f>AND('Air Dispersion Modeling Survey'!A71,"AAAAAFW6W18=")</f>
        <v>#VALUE!</v>
      </c>
      <c r="CS2" t="e">
        <f>AND('Air Dispersion Modeling Survey'!B71,"AAAAAFW6W2A=")</f>
        <v>#VALUE!</v>
      </c>
      <c r="CT2" t="e">
        <f>AND('Air Dispersion Modeling Survey'!C71,"AAAAAFW6W2E=")</f>
        <v>#VALUE!</v>
      </c>
      <c r="CU2" t="e">
        <f>AND('Air Dispersion Modeling Survey'!D71,"AAAAAFW6W2I=")</f>
        <v>#VALUE!</v>
      </c>
      <c r="CV2">
        <f>IF('Air Dispersion Modeling Survey'!72:72,"AAAAAFW6W2M=",0)</f>
        <v>0</v>
      </c>
      <c r="CW2" t="e">
        <f>AND('Air Dispersion Modeling Survey'!A72,"AAAAAFW6W2Q=")</f>
        <v>#VALUE!</v>
      </c>
      <c r="CX2" t="e">
        <f>AND('Air Dispersion Modeling Survey'!B72,"AAAAAFW6W2U=")</f>
        <v>#VALUE!</v>
      </c>
      <c r="CY2" t="e">
        <f>AND('Air Dispersion Modeling Survey'!C72,"AAAAAFW6W2Y=")</f>
        <v>#VALUE!</v>
      </c>
      <c r="CZ2" t="e">
        <f>AND('Air Dispersion Modeling Survey'!D72,"AAAAAFW6W2c=")</f>
        <v>#VALUE!</v>
      </c>
      <c r="DA2">
        <f>IF('Air Dispersion Modeling Survey'!73:73,"AAAAAFW6W2g=",0)</f>
        <v>0</v>
      </c>
      <c r="DB2" t="e">
        <f>AND('Air Dispersion Modeling Survey'!A73,"AAAAAFW6W2k=")</f>
        <v>#VALUE!</v>
      </c>
      <c r="DC2" t="e">
        <f>AND('Air Dispersion Modeling Survey'!B73,"AAAAAFW6W2o=")</f>
        <v>#VALUE!</v>
      </c>
      <c r="DD2" t="e">
        <f>AND('Air Dispersion Modeling Survey'!C73,"AAAAAFW6W2s=")</f>
        <v>#VALUE!</v>
      </c>
      <c r="DE2" t="e">
        <f>AND('Air Dispersion Modeling Survey'!D73,"AAAAAFW6W2w=")</f>
        <v>#VALUE!</v>
      </c>
      <c r="DF2">
        <f>IF('Air Dispersion Modeling Survey'!74:74,"AAAAAFW6W20=",0)</f>
        <v>0</v>
      </c>
      <c r="DG2" t="e">
        <f>AND('Air Dispersion Modeling Survey'!A74,"AAAAAFW6W24=")</f>
        <v>#VALUE!</v>
      </c>
      <c r="DH2" t="e">
        <f>AND('Air Dispersion Modeling Survey'!B74,"AAAAAFW6W28=")</f>
        <v>#VALUE!</v>
      </c>
      <c r="DI2" t="e">
        <f>AND('Air Dispersion Modeling Survey'!C74,"AAAAAFW6W3A=")</f>
        <v>#VALUE!</v>
      </c>
      <c r="DJ2" t="e">
        <f>AND('Air Dispersion Modeling Survey'!D74,"AAAAAFW6W3E=")</f>
        <v>#VALUE!</v>
      </c>
      <c r="DK2">
        <f>IF('Air Dispersion Modeling Survey'!75:75,"AAAAAFW6W3I=",0)</f>
        <v>0</v>
      </c>
      <c r="DL2" t="e">
        <f>AND('Air Dispersion Modeling Survey'!A75,"AAAAAFW6W3M=")</f>
        <v>#VALUE!</v>
      </c>
      <c r="DM2" t="e">
        <f>AND('Air Dispersion Modeling Survey'!B75,"AAAAAFW6W3Q=")</f>
        <v>#VALUE!</v>
      </c>
      <c r="DN2">
        <f>IF('Air Dispersion Modeling Survey'!76:76,"AAAAAFW6W3U=",0)</f>
        <v>0</v>
      </c>
      <c r="DO2" t="e">
        <f>AND('Air Dispersion Modeling Survey'!A76,"AAAAAFW6W3Y=")</f>
        <v>#VALUE!</v>
      </c>
      <c r="DP2" t="e">
        <f>AND('Air Dispersion Modeling Survey'!B76,"AAAAAFW6W3c=")</f>
        <v>#VALUE!</v>
      </c>
      <c r="DQ2">
        <f>IF('Air Dispersion Modeling Survey'!77:77,"AAAAAFW6W3g=",0)</f>
        <v>0</v>
      </c>
      <c r="DR2" t="e">
        <f>AND('Air Dispersion Modeling Survey'!A77,"AAAAAFW6W3k=")</f>
        <v>#VALUE!</v>
      </c>
      <c r="DS2" t="e">
        <f>AND('Air Dispersion Modeling Survey'!B77,"AAAAAFW6W3o=")</f>
        <v>#VALUE!</v>
      </c>
      <c r="DT2">
        <f>IF('Air Dispersion Modeling Survey'!78:78,"AAAAAFW6W3s=",0)</f>
        <v>0</v>
      </c>
      <c r="DU2" t="e">
        <f>AND('Air Dispersion Modeling Survey'!A78,"AAAAAFW6W3w=")</f>
        <v>#VALUE!</v>
      </c>
      <c r="DV2" t="e">
        <f>AND('Air Dispersion Modeling Survey'!B78,"AAAAAFW6W30=")</f>
        <v>#VALUE!</v>
      </c>
      <c r="DW2">
        <f>IF('Air Dispersion Modeling Survey'!79:79,"AAAAAFW6W34=",0)</f>
        <v>0</v>
      </c>
      <c r="DX2" t="e">
        <f>AND('Air Dispersion Modeling Survey'!A79,"AAAAAFW6W38=")</f>
        <v>#VALUE!</v>
      </c>
      <c r="DY2" t="e">
        <f>AND('Air Dispersion Modeling Survey'!B79,"AAAAAFW6W4A=")</f>
        <v>#VALUE!</v>
      </c>
      <c r="DZ2">
        <f>IF('Air Dispersion Modeling Survey'!80:80,"AAAAAFW6W4E=",0)</f>
        <v>0</v>
      </c>
      <c r="EA2" t="e">
        <f>AND('Air Dispersion Modeling Survey'!A80,"AAAAAFW6W4I=")</f>
        <v>#VALUE!</v>
      </c>
      <c r="EB2" t="e">
        <f>AND('Air Dispersion Modeling Survey'!B80,"AAAAAFW6W4M=")</f>
        <v>#VALUE!</v>
      </c>
      <c r="EC2">
        <f>IF('Air Dispersion Modeling Survey'!81:81,"AAAAAFW6W4Q=",0)</f>
        <v>0</v>
      </c>
      <c r="ED2" t="e">
        <f>AND('Air Dispersion Modeling Survey'!A81,"AAAAAFW6W4U=")</f>
        <v>#VALUE!</v>
      </c>
      <c r="EE2" t="e">
        <f>AND('Air Dispersion Modeling Survey'!B81,"AAAAAFW6W4Y=")</f>
        <v>#VALUE!</v>
      </c>
      <c r="EF2">
        <f>IF('Air Dispersion Modeling Survey'!82:82,"AAAAAFW6W4c=",0)</f>
        <v>0</v>
      </c>
      <c r="EG2" t="e">
        <f>AND('Air Dispersion Modeling Survey'!A82,"AAAAAFW6W4g=")</f>
        <v>#VALUE!</v>
      </c>
      <c r="EH2" t="e">
        <f>AND('Air Dispersion Modeling Survey'!B82,"AAAAAFW6W4k=")</f>
        <v>#VALUE!</v>
      </c>
      <c r="EI2">
        <f>IF('Air Dispersion Modeling Survey'!83:83,"AAAAAFW6W4o=",0)</f>
        <v>0</v>
      </c>
      <c r="EJ2" t="e">
        <f>AND('Air Dispersion Modeling Survey'!A83,"AAAAAFW6W4s=")</f>
        <v>#VALUE!</v>
      </c>
      <c r="EK2" t="e">
        <f>AND('Air Dispersion Modeling Survey'!B83,"AAAAAFW6W4w=")</f>
        <v>#VALUE!</v>
      </c>
      <c r="EL2">
        <f>IF('Air Dispersion Modeling Survey'!84:84,"AAAAAFW6W40=",0)</f>
        <v>0</v>
      </c>
      <c r="EM2" t="e">
        <f>AND('Air Dispersion Modeling Survey'!A84,"AAAAAFW6W44=")</f>
        <v>#VALUE!</v>
      </c>
      <c r="EN2" t="e">
        <f>AND('Air Dispersion Modeling Survey'!B84,"AAAAAFW6W48=")</f>
        <v>#VALUE!</v>
      </c>
      <c r="EO2">
        <f>IF('Air Dispersion Modeling Survey'!85:85,"AAAAAFW6W5A=",0)</f>
        <v>0</v>
      </c>
      <c r="EP2" t="e">
        <f>AND('Air Dispersion Modeling Survey'!A85,"AAAAAFW6W5E=")</f>
        <v>#VALUE!</v>
      </c>
      <c r="EQ2" t="e">
        <f>AND('Air Dispersion Modeling Survey'!B85,"AAAAAFW6W5I=")</f>
        <v>#VALUE!</v>
      </c>
      <c r="ER2">
        <f>IF('Air Dispersion Modeling Survey'!86:86,"AAAAAFW6W5M=",0)</f>
        <v>0</v>
      </c>
      <c r="ES2" t="e">
        <f>AND('Air Dispersion Modeling Survey'!A86,"AAAAAFW6W5Q=")</f>
        <v>#VALUE!</v>
      </c>
      <c r="ET2" t="e">
        <f>AND('Air Dispersion Modeling Survey'!B86,"AAAAAFW6W5U=")</f>
        <v>#VALUE!</v>
      </c>
      <c r="EU2">
        <f>IF('Air Dispersion Modeling Survey'!87:87,"AAAAAFW6W5Y=",0)</f>
        <v>0</v>
      </c>
      <c r="EV2" t="e">
        <f>AND('Air Dispersion Modeling Survey'!A87,"AAAAAFW6W5c=")</f>
        <v>#VALUE!</v>
      </c>
      <c r="EW2" t="e">
        <f>AND('Air Dispersion Modeling Survey'!B87,"AAAAAFW6W5g=")</f>
        <v>#VALUE!</v>
      </c>
      <c r="EX2">
        <f>IF('Air Dispersion Modeling Survey'!88:88,"AAAAAFW6W5k=",0)</f>
        <v>0</v>
      </c>
      <c r="EY2" t="e">
        <f>AND('Air Dispersion Modeling Survey'!A88,"AAAAAFW6W5o=")</f>
        <v>#VALUE!</v>
      </c>
      <c r="EZ2" t="e">
        <f>AND('Air Dispersion Modeling Survey'!B88,"AAAAAFW6W5s=")</f>
        <v>#VALUE!</v>
      </c>
      <c r="FA2">
        <f>IF('Air Dispersion Modeling Survey'!89:89,"AAAAAFW6W5w=",0)</f>
        <v>0</v>
      </c>
      <c r="FB2" t="e">
        <f>AND('Air Dispersion Modeling Survey'!A89,"AAAAAFW6W50=")</f>
        <v>#VALUE!</v>
      </c>
      <c r="FC2" t="e">
        <f>AND('Air Dispersion Modeling Survey'!B89,"AAAAAFW6W54=")</f>
        <v>#VALUE!</v>
      </c>
      <c r="FD2">
        <f>IF('Air Dispersion Modeling Survey'!90:90,"AAAAAFW6W58=",0)</f>
        <v>0</v>
      </c>
      <c r="FE2" t="e">
        <f>AND('Air Dispersion Modeling Survey'!A90,"AAAAAFW6W6A=")</f>
        <v>#VALUE!</v>
      </c>
      <c r="FF2" t="e">
        <f>AND('Air Dispersion Modeling Survey'!B90,"AAAAAFW6W6E=")</f>
        <v>#VALUE!</v>
      </c>
      <c r="FG2">
        <f>IF('Air Dispersion Modeling Survey'!91:91,"AAAAAFW6W6I=",0)</f>
        <v>0</v>
      </c>
      <c r="FH2" t="e">
        <f>AND('Air Dispersion Modeling Survey'!A91,"AAAAAFW6W6M=")</f>
        <v>#VALUE!</v>
      </c>
      <c r="FI2" t="e">
        <f>AND('Air Dispersion Modeling Survey'!B91,"AAAAAFW6W6Q=")</f>
        <v>#VALUE!</v>
      </c>
      <c r="FJ2">
        <f>IF('Air Dispersion Modeling Survey'!92:92,"AAAAAFW6W6U=",0)</f>
        <v>0</v>
      </c>
      <c r="FK2" t="e">
        <f>AND('Air Dispersion Modeling Survey'!A92,"AAAAAFW6W6Y=")</f>
        <v>#VALUE!</v>
      </c>
      <c r="FL2" t="e">
        <f>AND('Air Dispersion Modeling Survey'!B92,"AAAAAFW6W6c=")</f>
        <v>#VALUE!</v>
      </c>
      <c r="FM2">
        <f>IF('Air Dispersion Modeling Survey'!93:93,"AAAAAFW6W6g=",0)</f>
        <v>0</v>
      </c>
      <c r="FN2" t="e">
        <f>AND('Air Dispersion Modeling Survey'!A93,"AAAAAFW6W6k=")</f>
        <v>#VALUE!</v>
      </c>
      <c r="FO2" t="e">
        <f>AND('Air Dispersion Modeling Survey'!B93,"AAAAAFW6W6o=")</f>
        <v>#VALUE!</v>
      </c>
      <c r="FP2">
        <f>IF('Air Dispersion Modeling Survey'!94:94,"AAAAAFW6W6s=",0)</f>
        <v>0</v>
      </c>
      <c r="FQ2" t="e">
        <f>AND('Air Dispersion Modeling Survey'!A94,"AAAAAFW6W6w=")</f>
        <v>#VALUE!</v>
      </c>
      <c r="FR2" t="e">
        <f>AND('Air Dispersion Modeling Survey'!B94,"AAAAAFW6W60=")</f>
        <v>#VALUE!</v>
      </c>
      <c r="FS2">
        <f>IF('Air Dispersion Modeling Survey'!95:95,"AAAAAFW6W64=",0)</f>
        <v>0</v>
      </c>
      <c r="FT2" t="e">
        <f>AND('Air Dispersion Modeling Survey'!A95,"AAAAAFW6W68=")</f>
        <v>#VALUE!</v>
      </c>
      <c r="FU2" t="e">
        <f>AND('Air Dispersion Modeling Survey'!B95,"AAAAAFW6W7A=")</f>
        <v>#VALUE!</v>
      </c>
      <c r="FV2">
        <f>IF('Air Dispersion Modeling Survey'!96:96,"AAAAAFW6W7E=",0)</f>
        <v>0</v>
      </c>
      <c r="FW2" t="e">
        <f>AND('Air Dispersion Modeling Survey'!A96,"AAAAAFW6W7I=")</f>
        <v>#VALUE!</v>
      </c>
      <c r="FX2" t="e">
        <f>AND('Air Dispersion Modeling Survey'!B96,"AAAAAFW6W7M=")</f>
        <v>#VALUE!</v>
      </c>
      <c r="FY2">
        <f>IF('Air Dispersion Modeling Survey'!97:97,"AAAAAFW6W7Q=",0)</f>
        <v>0</v>
      </c>
      <c r="FZ2" t="e">
        <f>AND('Air Dispersion Modeling Survey'!A97,"AAAAAFW6W7U=")</f>
        <v>#VALUE!</v>
      </c>
      <c r="GA2" t="e">
        <f>AND('Air Dispersion Modeling Survey'!B97,"AAAAAFW6W7Y=")</f>
        <v>#VALUE!</v>
      </c>
      <c r="GB2">
        <f>IF('Air Dispersion Modeling Survey'!98:98,"AAAAAFW6W7c=",0)</f>
        <v>0</v>
      </c>
      <c r="GC2" t="e">
        <f>AND('Air Dispersion Modeling Survey'!A98,"AAAAAFW6W7g=")</f>
        <v>#VALUE!</v>
      </c>
      <c r="GD2" t="e">
        <f>AND('Air Dispersion Modeling Survey'!B98,"AAAAAFW6W7k=")</f>
        <v>#VALUE!</v>
      </c>
      <c r="GE2">
        <f>IF('Air Dispersion Modeling Survey'!99:99,"AAAAAFW6W7o=",0)</f>
        <v>0</v>
      </c>
      <c r="GF2" t="e">
        <f>AND('Air Dispersion Modeling Survey'!A99,"AAAAAFW6W7s=")</f>
        <v>#VALUE!</v>
      </c>
      <c r="GG2" t="e">
        <f>AND('Air Dispersion Modeling Survey'!B99,"AAAAAFW6W7w=")</f>
        <v>#VALUE!</v>
      </c>
      <c r="GH2">
        <f>IF('Air Dispersion Modeling Survey'!100:100,"AAAAAFW6W70=",0)</f>
        <v>0</v>
      </c>
      <c r="GI2" t="e">
        <f>AND('Air Dispersion Modeling Survey'!A100,"AAAAAFW6W74=")</f>
        <v>#VALUE!</v>
      </c>
      <c r="GJ2" t="e">
        <f>AND('Air Dispersion Modeling Survey'!B100,"AAAAAFW6W78=")</f>
        <v>#VALUE!</v>
      </c>
      <c r="GK2">
        <f>IF('Air Dispersion Modeling Survey'!101:101,"AAAAAFW6W8A=",0)</f>
        <v>0</v>
      </c>
      <c r="GL2" t="e">
        <f>AND('Air Dispersion Modeling Survey'!A101,"AAAAAFW6W8E=")</f>
        <v>#VALUE!</v>
      </c>
      <c r="GM2" t="e">
        <f>AND('Air Dispersion Modeling Survey'!B101,"AAAAAFW6W8I=")</f>
        <v>#VALUE!</v>
      </c>
      <c r="GN2">
        <f>IF('Air Dispersion Modeling Survey'!102:102,"AAAAAFW6W8M=",0)</f>
        <v>0</v>
      </c>
      <c r="GO2" t="e">
        <f>AND('Air Dispersion Modeling Survey'!A102,"AAAAAFW6W8Q=")</f>
        <v>#VALUE!</v>
      </c>
      <c r="GP2" t="e">
        <f>AND('Air Dispersion Modeling Survey'!B102,"AAAAAFW6W8U=")</f>
        <v>#VALUE!</v>
      </c>
      <c r="GQ2">
        <f>IF('Air Dispersion Modeling Survey'!103:103,"AAAAAFW6W8Y=",0)</f>
        <v>0</v>
      </c>
      <c r="GR2" t="e">
        <f>AND('Air Dispersion Modeling Survey'!A103,"AAAAAFW6W8c=")</f>
        <v>#VALUE!</v>
      </c>
      <c r="GS2" t="e">
        <f>AND('Air Dispersion Modeling Survey'!B103,"AAAAAFW6W8g=")</f>
        <v>#VALUE!</v>
      </c>
      <c r="GT2">
        <f>IF('Air Dispersion Modeling Survey'!104:104,"AAAAAFW6W8k=",0)</f>
        <v>0</v>
      </c>
      <c r="GU2" t="e">
        <f>AND('Air Dispersion Modeling Survey'!A104,"AAAAAFW6W8o=")</f>
        <v>#VALUE!</v>
      </c>
      <c r="GV2" t="e">
        <f>AND('Air Dispersion Modeling Survey'!B104,"AAAAAFW6W8s=")</f>
        <v>#VALUE!</v>
      </c>
      <c r="GW2">
        <f>IF('Air Dispersion Modeling Survey'!105:105,"AAAAAFW6W8w=",0)</f>
        <v>0</v>
      </c>
      <c r="GX2" t="e">
        <f>AND('Air Dispersion Modeling Survey'!A105,"AAAAAFW6W80=")</f>
        <v>#VALUE!</v>
      </c>
      <c r="GY2" t="e">
        <f>AND('Air Dispersion Modeling Survey'!B105,"AAAAAFW6W84=")</f>
        <v>#VALUE!</v>
      </c>
      <c r="GZ2">
        <f>IF('Air Dispersion Modeling Survey'!106:106,"AAAAAFW6W88=",0)</f>
        <v>0</v>
      </c>
      <c r="HA2" t="e">
        <f>AND('Air Dispersion Modeling Survey'!A106,"AAAAAFW6W9A=")</f>
        <v>#VALUE!</v>
      </c>
      <c r="HB2" t="e">
        <f>AND('Air Dispersion Modeling Survey'!B106,"AAAAAFW6W9E=")</f>
        <v>#VALUE!</v>
      </c>
      <c r="HC2">
        <f>IF('Air Dispersion Modeling Survey'!107:107,"AAAAAFW6W9I=",0)</f>
        <v>0</v>
      </c>
      <c r="HD2" t="e">
        <f>AND('Air Dispersion Modeling Survey'!A107,"AAAAAFW6W9M=")</f>
        <v>#VALUE!</v>
      </c>
      <c r="HE2" t="e">
        <f>AND('Air Dispersion Modeling Survey'!B107,"AAAAAFW6W9Q=")</f>
        <v>#VALUE!</v>
      </c>
      <c r="HF2">
        <f>IF('Air Dispersion Modeling Survey'!108:108,"AAAAAFW6W9U=",0)</f>
        <v>0</v>
      </c>
      <c r="HG2" t="e">
        <f>AND('Air Dispersion Modeling Survey'!A108,"AAAAAFW6W9Y=")</f>
        <v>#VALUE!</v>
      </c>
      <c r="HH2" t="e">
        <f>AND('Air Dispersion Modeling Survey'!B108,"AAAAAFW6W9c=")</f>
        <v>#VALUE!</v>
      </c>
      <c r="HI2">
        <f>IF('Air Dispersion Modeling Survey'!109:109,"AAAAAFW6W9g=",0)</f>
        <v>0</v>
      </c>
      <c r="HJ2" t="e">
        <f>AND('Air Dispersion Modeling Survey'!A109,"AAAAAFW6W9k=")</f>
        <v>#VALUE!</v>
      </c>
      <c r="HK2" t="e">
        <f>AND('Air Dispersion Modeling Survey'!B109,"AAAAAFW6W9o=")</f>
        <v>#VALUE!</v>
      </c>
      <c r="HL2">
        <f>IF('Air Dispersion Modeling Survey'!110:110,"AAAAAFW6W9s=",0)</f>
        <v>0</v>
      </c>
      <c r="HM2" t="e">
        <f>AND('Air Dispersion Modeling Survey'!A110,"AAAAAFW6W9w=")</f>
        <v>#VALUE!</v>
      </c>
      <c r="HN2" t="e">
        <f>AND('Air Dispersion Modeling Survey'!B110,"AAAAAFW6W90=")</f>
        <v>#VALUE!</v>
      </c>
      <c r="HO2">
        <f>IF('Air Dispersion Modeling Survey'!111:111,"AAAAAFW6W94=",0)</f>
        <v>0</v>
      </c>
      <c r="HP2" t="e">
        <f>AND('Air Dispersion Modeling Survey'!A111,"AAAAAFW6W98=")</f>
        <v>#VALUE!</v>
      </c>
      <c r="HQ2" t="e">
        <f>AND('Air Dispersion Modeling Survey'!B111,"AAAAAFW6W+A=")</f>
        <v>#VALUE!</v>
      </c>
      <c r="HR2">
        <f>IF('Air Dispersion Modeling Survey'!112:112,"AAAAAFW6W+E=",0)</f>
        <v>0</v>
      </c>
      <c r="HS2" t="e">
        <f>AND('Air Dispersion Modeling Survey'!A112,"AAAAAFW6W+I=")</f>
        <v>#VALUE!</v>
      </c>
      <c r="HT2" t="e">
        <f>AND('Air Dispersion Modeling Survey'!B112,"AAAAAFW6W+M=")</f>
        <v>#VALUE!</v>
      </c>
      <c r="HU2">
        <f>IF('Air Dispersion Modeling Survey'!113:113,"AAAAAFW6W+Q=",0)</f>
        <v>0</v>
      </c>
      <c r="HV2" t="e">
        <f>AND('Air Dispersion Modeling Survey'!A113,"AAAAAFW6W+U=")</f>
        <v>#VALUE!</v>
      </c>
      <c r="HW2" t="e">
        <f>AND('Air Dispersion Modeling Survey'!B113,"AAAAAFW6W+Y=")</f>
        <v>#VALUE!</v>
      </c>
      <c r="HX2">
        <f>IF('Air Dispersion Modeling Survey'!114:114,"AAAAAFW6W+c=",0)</f>
        <v>0</v>
      </c>
      <c r="HY2" t="e">
        <f>AND('Air Dispersion Modeling Survey'!A114,"AAAAAFW6W+g=")</f>
        <v>#VALUE!</v>
      </c>
      <c r="HZ2" t="e">
        <f>AND('Air Dispersion Modeling Survey'!B114,"AAAAAFW6W+k=")</f>
        <v>#VALUE!</v>
      </c>
      <c r="IA2">
        <f>IF('Air Dispersion Modeling Survey'!115:115,"AAAAAFW6W+o=",0)</f>
        <v>0</v>
      </c>
      <c r="IB2" t="e">
        <f>AND('Air Dispersion Modeling Survey'!A115,"AAAAAFW6W+s=")</f>
        <v>#VALUE!</v>
      </c>
      <c r="IC2" t="e">
        <f>AND('Air Dispersion Modeling Survey'!B115,"AAAAAFW6W+w=")</f>
        <v>#VALUE!</v>
      </c>
      <c r="ID2">
        <f>IF('Air Dispersion Modeling Survey'!116:116,"AAAAAFW6W+0=",0)</f>
        <v>0</v>
      </c>
      <c r="IE2" t="e">
        <f>AND('Air Dispersion Modeling Survey'!A116,"AAAAAFW6W+4=")</f>
        <v>#VALUE!</v>
      </c>
      <c r="IF2" t="e">
        <f>AND('Air Dispersion Modeling Survey'!B116,"AAAAAFW6W+8=")</f>
        <v>#VALUE!</v>
      </c>
      <c r="IG2">
        <f>IF('Air Dispersion Modeling Survey'!117:117,"AAAAAFW6W/A=",0)</f>
        <v>0</v>
      </c>
      <c r="IH2" t="e">
        <f>AND('Air Dispersion Modeling Survey'!A117,"AAAAAFW6W/E=")</f>
        <v>#VALUE!</v>
      </c>
      <c r="II2" t="e">
        <f>AND('Air Dispersion Modeling Survey'!B117,"AAAAAFW6W/I=")</f>
        <v>#VALUE!</v>
      </c>
      <c r="IJ2">
        <f>IF('Air Dispersion Modeling Survey'!118:118,"AAAAAFW6W/M=",0)</f>
        <v>0</v>
      </c>
      <c r="IK2" t="e">
        <f>AND('Air Dispersion Modeling Survey'!A118,"AAAAAFW6W/Q=")</f>
        <v>#VALUE!</v>
      </c>
      <c r="IL2" t="e">
        <f>AND('Air Dispersion Modeling Survey'!B118,"AAAAAFW6W/U=")</f>
        <v>#VALUE!</v>
      </c>
      <c r="IM2">
        <f>IF('Air Dispersion Modeling Survey'!119:119,"AAAAAFW6W/Y=",0)</f>
        <v>0</v>
      </c>
      <c r="IN2" t="e">
        <f>AND('Air Dispersion Modeling Survey'!A119,"AAAAAFW6W/c=")</f>
        <v>#VALUE!</v>
      </c>
      <c r="IO2" t="e">
        <f>AND('Air Dispersion Modeling Survey'!B119,"AAAAAFW6W/g=")</f>
        <v>#VALUE!</v>
      </c>
      <c r="IP2">
        <f>IF('Air Dispersion Modeling Survey'!120:120,"AAAAAFW6W/k=",0)</f>
        <v>0</v>
      </c>
      <c r="IQ2" t="e">
        <f>AND('Air Dispersion Modeling Survey'!A120,"AAAAAFW6W/o=")</f>
        <v>#VALUE!</v>
      </c>
      <c r="IR2" t="e">
        <f>AND('Air Dispersion Modeling Survey'!B120,"AAAAAFW6W/s=")</f>
        <v>#VALUE!</v>
      </c>
      <c r="IS2">
        <f>IF('Air Dispersion Modeling Survey'!121:121,"AAAAAFW6W/w=",0)</f>
        <v>0</v>
      </c>
      <c r="IT2" t="e">
        <f>AND('Air Dispersion Modeling Survey'!A121,"AAAAAFW6W/0=")</f>
        <v>#VALUE!</v>
      </c>
      <c r="IU2" t="e">
        <f>AND('Air Dispersion Modeling Survey'!B121,"AAAAAFW6W/4=")</f>
        <v>#VALUE!</v>
      </c>
      <c r="IV2">
        <f>IF('Air Dispersion Modeling Survey'!122:122,"AAAAAFW6W/8=",0)</f>
        <v>0</v>
      </c>
    </row>
    <row r="3" spans="1:256" ht="15">
      <c r="A3" t="e">
        <f>AND('Air Dispersion Modeling Survey'!A122,"AAAAAH8/3wA=")</f>
        <v>#VALUE!</v>
      </c>
      <c r="B3" t="e">
        <f>AND('Air Dispersion Modeling Survey'!B122,"AAAAAH8/3wE=")</f>
        <v>#VALUE!</v>
      </c>
      <c r="C3">
        <f>IF('Air Dispersion Modeling Survey'!123:123,"AAAAAH8/3wI=",0)</f>
        <v>0</v>
      </c>
      <c r="D3" t="e">
        <f>AND('Air Dispersion Modeling Survey'!A123,"AAAAAH8/3wM=")</f>
        <v>#VALUE!</v>
      </c>
      <c r="E3" t="e">
        <f>AND('Air Dispersion Modeling Survey'!B123,"AAAAAH8/3wQ=")</f>
        <v>#VALUE!</v>
      </c>
      <c r="F3">
        <f>IF('Air Dispersion Modeling Survey'!124:124,"AAAAAH8/3wU=",0)</f>
        <v>0</v>
      </c>
      <c r="G3" t="e">
        <f>AND('Air Dispersion Modeling Survey'!A124,"AAAAAH8/3wY=")</f>
        <v>#VALUE!</v>
      </c>
      <c r="H3" t="e">
        <f>AND('Air Dispersion Modeling Survey'!B124,"AAAAAH8/3wc=")</f>
        <v>#VALUE!</v>
      </c>
      <c r="I3">
        <f>IF('Air Dispersion Modeling Survey'!125:125,"AAAAAH8/3wg=",0)</f>
        <v>0</v>
      </c>
      <c r="J3" t="e">
        <f>AND('Air Dispersion Modeling Survey'!A125,"AAAAAH8/3wk=")</f>
        <v>#VALUE!</v>
      </c>
      <c r="K3" t="e">
        <f>AND('Air Dispersion Modeling Survey'!B125,"AAAAAH8/3wo=")</f>
        <v>#VALUE!</v>
      </c>
      <c r="L3">
        <f>IF('Air Dispersion Modeling Survey'!126:126,"AAAAAH8/3ws=",0)</f>
        <v>0</v>
      </c>
      <c r="M3" t="e">
        <f>AND('Air Dispersion Modeling Survey'!A126,"AAAAAH8/3ww=")</f>
        <v>#VALUE!</v>
      </c>
      <c r="N3" t="e">
        <f>AND('Air Dispersion Modeling Survey'!B126,"AAAAAH8/3w0=")</f>
        <v>#VALUE!</v>
      </c>
      <c r="O3">
        <f>IF('Air Dispersion Modeling Survey'!127:127,"AAAAAH8/3w4=",0)</f>
        <v>0</v>
      </c>
      <c r="P3" t="e">
        <f>AND('Air Dispersion Modeling Survey'!A127,"AAAAAH8/3w8=")</f>
        <v>#VALUE!</v>
      </c>
      <c r="Q3" t="e">
        <f>AND('Air Dispersion Modeling Survey'!B127,"AAAAAH8/3xA=")</f>
        <v>#VALUE!</v>
      </c>
      <c r="R3">
        <f>IF('Air Dispersion Modeling Survey'!128:128,"AAAAAH8/3xE=",0)</f>
        <v>0</v>
      </c>
      <c r="S3" t="e">
        <f>AND('Air Dispersion Modeling Survey'!A128,"AAAAAH8/3xI=")</f>
        <v>#VALUE!</v>
      </c>
      <c r="T3" t="e">
        <f>AND('Air Dispersion Modeling Survey'!B128,"AAAAAH8/3xM=")</f>
        <v>#VALUE!</v>
      </c>
      <c r="U3">
        <f>IF('Air Dispersion Modeling Survey'!129:129,"AAAAAH8/3xQ=",0)</f>
        <v>0</v>
      </c>
      <c r="V3" t="e">
        <f>AND('Air Dispersion Modeling Survey'!A129,"AAAAAH8/3xU=")</f>
        <v>#VALUE!</v>
      </c>
      <c r="W3" t="e">
        <f>AND('Air Dispersion Modeling Survey'!B129,"AAAAAH8/3xY=")</f>
        <v>#VALUE!</v>
      </c>
      <c r="X3">
        <f>IF('Air Dispersion Modeling Survey'!130:130,"AAAAAH8/3xc=",0)</f>
        <v>0</v>
      </c>
      <c r="Y3" t="e">
        <f>AND('Air Dispersion Modeling Survey'!A130,"AAAAAH8/3xg=")</f>
        <v>#VALUE!</v>
      </c>
      <c r="Z3" t="e">
        <f>AND('Air Dispersion Modeling Survey'!B130,"AAAAAH8/3xk=")</f>
        <v>#VALUE!</v>
      </c>
      <c r="AA3">
        <f>IF('Air Dispersion Modeling Survey'!131:131,"AAAAAH8/3xo=",0)</f>
        <v>0</v>
      </c>
      <c r="AB3" t="e">
        <f>AND('Air Dispersion Modeling Survey'!A131,"AAAAAH8/3xs=")</f>
        <v>#VALUE!</v>
      </c>
      <c r="AC3" t="e">
        <f>AND('Air Dispersion Modeling Survey'!B131,"AAAAAH8/3xw=")</f>
        <v>#VALUE!</v>
      </c>
      <c r="AD3">
        <f>IF('Air Dispersion Modeling Survey'!132:132,"AAAAAH8/3x0=",0)</f>
        <v>0</v>
      </c>
      <c r="AE3" t="e">
        <f>AND('Air Dispersion Modeling Survey'!A132,"AAAAAH8/3x4=")</f>
        <v>#VALUE!</v>
      </c>
      <c r="AF3" t="e">
        <f>AND('Air Dispersion Modeling Survey'!B132,"AAAAAH8/3x8=")</f>
        <v>#VALUE!</v>
      </c>
      <c r="AG3">
        <f>IF('Air Dispersion Modeling Survey'!133:133,"AAAAAH8/3yA=",0)</f>
        <v>0</v>
      </c>
      <c r="AH3" t="e">
        <f>AND('Air Dispersion Modeling Survey'!A133,"AAAAAH8/3yE=")</f>
        <v>#VALUE!</v>
      </c>
      <c r="AI3" t="e">
        <f>AND('Air Dispersion Modeling Survey'!B133,"AAAAAH8/3yI=")</f>
        <v>#VALUE!</v>
      </c>
      <c r="AJ3">
        <f>IF('Air Dispersion Modeling Survey'!134:134,"AAAAAH8/3yM=",0)</f>
        <v>0</v>
      </c>
      <c r="AK3" t="e">
        <f>AND('Air Dispersion Modeling Survey'!A134,"AAAAAH8/3yQ=")</f>
        <v>#VALUE!</v>
      </c>
      <c r="AL3" t="e">
        <f>AND('Air Dispersion Modeling Survey'!B134,"AAAAAH8/3yU=")</f>
        <v>#VALUE!</v>
      </c>
      <c r="AM3">
        <f>IF('Air Dispersion Modeling Survey'!135:135,"AAAAAH8/3yY=",0)</f>
        <v>0</v>
      </c>
      <c r="AN3" t="e">
        <f>AND('Air Dispersion Modeling Survey'!A135,"AAAAAH8/3yc=")</f>
        <v>#VALUE!</v>
      </c>
      <c r="AO3" t="e">
        <f>AND('Air Dispersion Modeling Survey'!B135,"AAAAAH8/3yg=")</f>
        <v>#VALUE!</v>
      </c>
      <c r="AP3">
        <f>IF('Air Dispersion Modeling Survey'!136:136,"AAAAAH8/3yk=",0)</f>
        <v>0</v>
      </c>
      <c r="AQ3" t="e">
        <f>AND('Air Dispersion Modeling Survey'!A136,"AAAAAH8/3yo=")</f>
        <v>#VALUE!</v>
      </c>
      <c r="AR3" t="e">
        <f>AND('Air Dispersion Modeling Survey'!B136,"AAAAAH8/3ys=")</f>
        <v>#VALUE!</v>
      </c>
      <c r="AS3">
        <f>IF('Air Dispersion Modeling Survey'!137:137,"AAAAAH8/3yw=",0)</f>
        <v>0</v>
      </c>
      <c r="AT3" t="e">
        <f>AND('Air Dispersion Modeling Survey'!A137,"AAAAAH8/3y0=")</f>
        <v>#VALUE!</v>
      </c>
      <c r="AU3" t="e">
        <f>AND('Air Dispersion Modeling Survey'!B137,"AAAAAH8/3y4=")</f>
        <v>#VALUE!</v>
      </c>
      <c r="AV3">
        <f>IF('Air Dispersion Modeling Survey'!138:138,"AAAAAH8/3y8=",0)</f>
        <v>0</v>
      </c>
      <c r="AW3" t="e">
        <f>AND('Air Dispersion Modeling Survey'!A138,"AAAAAH8/3zA=")</f>
        <v>#VALUE!</v>
      </c>
      <c r="AX3" t="e">
        <f>AND('Air Dispersion Modeling Survey'!B138,"AAAAAH8/3zE=")</f>
        <v>#VALUE!</v>
      </c>
      <c r="AY3">
        <f>IF('Air Dispersion Modeling Survey'!139:139,"AAAAAH8/3zI=",0)</f>
        <v>0</v>
      </c>
      <c r="AZ3" t="e">
        <f>AND('Air Dispersion Modeling Survey'!A139,"AAAAAH8/3zM=")</f>
        <v>#VALUE!</v>
      </c>
      <c r="BA3" t="e">
        <f>AND('Air Dispersion Modeling Survey'!B139,"AAAAAH8/3zQ=")</f>
        <v>#VALUE!</v>
      </c>
      <c r="BB3">
        <f>IF('Air Dispersion Modeling Survey'!140:140,"AAAAAH8/3zU=",0)</f>
        <v>0</v>
      </c>
      <c r="BC3" t="e">
        <f>AND('Air Dispersion Modeling Survey'!A140,"AAAAAH8/3zY=")</f>
        <v>#VALUE!</v>
      </c>
      <c r="BD3" t="e">
        <f>AND('Air Dispersion Modeling Survey'!B140,"AAAAAH8/3zc=")</f>
        <v>#VALUE!</v>
      </c>
      <c r="BE3">
        <f>IF('Air Dispersion Modeling Survey'!141:141,"AAAAAH8/3zg=",0)</f>
        <v>0</v>
      </c>
      <c r="BF3" t="e">
        <f>AND('Air Dispersion Modeling Survey'!A141,"AAAAAH8/3zk=")</f>
        <v>#VALUE!</v>
      </c>
      <c r="BG3" t="e">
        <f>AND('Air Dispersion Modeling Survey'!B141,"AAAAAH8/3zo=")</f>
        <v>#VALUE!</v>
      </c>
      <c r="BH3">
        <f>IF('Air Dispersion Modeling Survey'!142:142,"AAAAAH8/3zs=",0)</f>
        <v>0</v>
      </c>
      <c r="BI3" t="e">
        <f>AND('Air Dispersion Modeling Survey'!A142,"AAAAAH8/3zw=")</f>
        <v>#VALUE!</v>
      </c>
      <c r="BJ3" t="e">
        <f>AND('Air Dispersion Modeling Survey'!B142,"AAAAAH8/3z0=")</f>
        <v>#VALUE!</v>
      </c>
      <c r="BK3">
        <f>IF('Air Dispersion Modeling Survey'!143:143,"AAAAAH8/3z4=",0)</f>
        <v>0</v>
      </c>
      <c r="BL3" t="e">
        <f>AND('Air Dispersion Modeling Survey'!A143,"AAAAAH8/3z8=")</f>
        <v>#VALUE!</v>
      </c>
      <c r="BM3" t="e">
        <f>AND('Air Dispersion Modeling Survey'!B143,"AAAAAH8/30A=")</f>
        <v>#VALUE!</v>
      </c>
      <c r="BN3">
        <f>IF('Air Dispersion Modeling Survey'!144:144,"AAAAAH8/30E=",0)</f>
        <v>0</v>
      </c>
      <c r="BO3" t="e">
        <f>AND('Air Dispersion Modeling Survey'!A144,"AAAAAH8/30I=")</f>
        <v>#VALUE!</v>
      </c>
      <c r="BP3" t="e">
        <f>AND('Air Dispersion Modeling Survey'!B144,"AAAAAH8/30M=")</f>
        <v>#VALUE!</v>
      </c>
      <c r="BQ3">
        <f>IF('Air Dispersion Modeling Survey'!145:145,"AAAAAH8/30Q=",0)</f>
        <v>0</v>
      </c>
      <c r="BR3" t="e">
        <f>AND('Air Dispersion Modeling Survey'!A145,"AAAAAH8/30U=")</f>
        <v>#VALUE!</v>
      </c>
      <c r="BS3" t="e">
        <f>AND('Air Dispersion Modeling Survey'!B145,"AAAAAH8/30Y=")</f>
        <v>#VALUE!</v>
      </c>
      <c r="BT3">
        <f>IF('Air Dispersion Modeling Survey'!146:146,"AAAAAH8/30c=",0)</f>
        <v>0</v>
      </c>
      <c r="BU3" t="e">
        <f>AND('Air Dispersion Modeling Survey'!A146,"AAAAAH8/30g=")</f>
        <v>#VALUE!</v>
      </c>
      <c r="BV3" t="e">
        <f>AND('Air Dispersion Modeling Survey'!B146,"AAAAAH8/30k=")</f>
        <v>#VALUE!</v>
      </c>
      <c r="BW3">
        <f>IF('Air Dispersion Modeling Survey'!147:147,"AAAAAH8/30o=",0)</f>
        <v>0</v>
      </c>
      <c r="BX3" t="e">
        <f>AND('Air Dispersion Modeling Survey'!A147,"AAAAAH8/30s=")</f>
        <v>#VALUE!</v>
      </c>
      <c r="BY3" t="e">
        <f>AND('Air Dispersion Modeling Survey'!B147,"AAAAAH8/30w=")</f>
        <v>#VALUE!</v>
      </c>
      <c r="BZ3">
        <f>IF('Air Dispersion Modeling Survey'!148:148,"AAAAAH8/300=",0)</f>
        <v>0</v>
      </c>
      <c r="CA3" t="e">
        <f>AND('Air Dispersion Modeling Survey'!A148,"AAAAAH8/304=")</f>
        <v>#VALUE!</v>
      </c>
      <c r="CB3" t="e">
        <f>AND('Air Dispersion Modeling Survey'!B148,"AAAAAH8/308=")</f>
        <v>#VALUE!</v>
      </c>
      <c r="CC3">
        <f>IF('Air Dispersion Modeling Survey'!149:149,"AAAAAH8/31A=",0)</f>
        <v>0</v>
      </c>
      <c r="CD3" t="e">
        <f>AND('Air Dispersion Modeling Survey'!A149,"AAAAAH8/31E=")</f>
        <v>#VALUE!</v>
      </c>
      <c r="CE3" t="e">
        <f>AND('Air Dispersion Modeling Survey'!B149,"AAAAAH8/31I=")</f>
        <v>#VALUE!</v>
      </c>
      <c r="CF3">
        <f>IF('Air Dispersion Modeling Survey'!150:150,"AAAAAH8/31M=",0)</f>
        <v>0</v>
      </c>
      <c r="CG3" t="e">
        <f>AND('Air Dispersion Modeling Survey'!A150,"AAAAAH8/31Q=")</f>
        <v>#VALUE!</v>
      </c>
      <c r="CH3" t="e">
        <f>AND('Air Dispersion Modeling Survey'!B150,"AAAAAH8/31U=")</f>
        <v>#VALUE!</v>
      </c>
      <c r="CI3">
        <f>IF('Air Dispersion Modeling Survey'!151:151,"AAAAAH8/31Y=",0)</f>
        <v>0</v>
      </c>
      <c r="CJ3" t="e">
        <f>AND('Air Dispersion Modeling Survey'!A151,"AAAAAH8/31c=")</f>
        <v>#VALUE!</v>
      </c>
      <c r="CK3" t="e">
        <f>AND('Air Dispersion Modeling Survey'!B151,"AAAAAH8/31g=")</f>
        <v>#VALUE!</v>
      </c>
      <c r="CL3">
        <f>IF('Air Dispersion Modeling Survey'!152:152,"AAAAAH8/31k=",0)</f>
        <v>0</v>
      </c>
      <c r="CM3" t="e">
        <f>AND('Air Dispersion Modeling Survey'!A152,"AAAAAH8/31o=")</f>
        <v>#VALUE!</v>
      </c>
      <c r="CN3" t="e">
        <f>AND('Air Dispersion Modeling Survey'!B152,"AAAAAH8/31s=")</f>
        <v>#VALUE!</v>
      </c>
      <c r="CO3">
        <f>IF('Air Dispersion Modeling Survey'!153:153,"AAAAAH8/31w=",0)</f>
        <v>0</v>
      </c>
      <c r="CP3" t="e">
        <f>AND('Air Dispersion Modeling Survey'!A153,"AAAAAH8/310=")</f>
        <v>#VALUE!</v>
      </c>
      <c r="CQ3" t="e">
        <f>AND('Air Dispersion Modeling Survey'!B153,"AAAAAH8/314=")</f>
        <v>#VALUE!</v>
      </c>
      <c r="CR3">
        <f>IF('Air Dispersion Modeling Survey'!154:154,"AAAAAH8/318=",0)</f>
        <v>0</v>
      </c>
      <c r="CS3" t="e">
        <f>AND('Air Dispersion Modeling Survey'!A154,"AAAAAH8/32A=")</f>
        <v>#VALUE!</v>
      </c>
      <c r="CT3" t="e">
        <f>AND('Air Dispersion Modeling Survey'!B154,"AAAAAH8/32E=")</f>
        <v>#VALUE!</v>
      </c>
      <c r="CU3">
        <f>IF('Air Dispersion Modeling Survey'!155:155,"AAAAAH8/32I=",0)</f>
        <v>0</v>
      </c>
      <c r="CV3" t="e">
        <f>AND('Air Dispersion Modeling Survey'!A155,"AAAAAH8/32M=")</f>
        <v>#VALUE!</v>
      </c>
      <c r="CW3" t="e">
        <f>AND('Air Dispersion Modeling Survey'!B155,"AAAAAH8/32Q=")</f>
        <v>#VALUE!</v>
      </c>
      <c r="CX3">
        <f>IF('Air Dispersion Modeling Survey'!156:156,"AAAAAH8/32U=",0)</f>
        <v>0</v>
      </c>
      <c r="CY3" t="e">
        <f>AND('Air Dispersion Modeling Survey'!A156,"AAAAAH8/32Y=")</f>
        <v>#VALUE!</v>
      </c>
      <c r="CZ3" t="e">
        <f>AND('Air Dispersion Modeling Survey'!B156,"AAAAAH8/32c=")</f>
        <v>#VALUE!</v>
      </c>
      <c r="DA3">
        <f>IF('Air Dispersion Modeling Survey'!157:157,"AAAAAH8/32g=",0)</f>
        <v>0</v>
      </c>
      <c r="DB3" t="e">
        <f>AND('Air Dispersion Modeling Survey'!A157,"AAAAAH8/32k=")</f>
        <v>#VALUE!</v>
      </c>
      <c r="DC3" t="e">
        <f>AND('Air Dispersion Modeling Survey'!B157,"AAAAAH8/32o=")</f>
        <v>#VALUE!</v>
      </c>
      <c r="DD3">
        <f>IF('Air Dispersion Modeling Survey'!158:158,"AAAAAH8/32s=",0)</f>
        <v>0</v>
      </c>
      <c r="DE3" t="e">
        <f>AND('Air Dispersion Modeling Survey'!A158,"AAAAAH8/32w=")</f>
        <v>#VALUE!</v>
      </c>
      <c r="DF3" t="e">
        <f>AND('Air Dispersion Modeling Survey'!B158,"AAAAAH8/320=")</f>
        <v>#VALUE!</v>
      </c>
      <c r="DG3">
        <f>IF('Air Dispersion Modeling Survey'!159:159,"AAAAAH8/324=",0)</f>
        <v>0</v>
      </c>
      <c r="DH3" t="e">
        <f>AND('Air Dispersion Modeling Survey'!A159,"AAAAAH8/328=")</f>
        <v>#VALUE!</v>
      </c>
      <c r="DI3" t="e">
        <f>AND('Air Dispersion Modeling Survey'!B159,"AAAAAH8/33A=")</f>
        <v>#VALUE!</v>
      </c>
      <c r="DJ3">
        <f>IF('Air Dispersion Modeling Survey'!160:160,"AAAAAH8/33E=",0)</f>
        <v>0</v>
      </c>
      <c r="DK3" t="e">
        <f>AND('Air Dispersion Modeling Survey'!A160,"AAAAAH8/33I=")</f>
        <v>#VALUE!</v>
      </c>
      <c r="DL3" t="e">
        <f>AND('Air Dispersion Modeling Survey'!B160,"AAAAAH8/33M=")</f>
        <v>#VALUE!</v>
      </c>
      <c r="DM3">
        <f>IF('Air Dispersion Modeling Survey'!161:161,"AAAAAH8/33Q=",0)</f>
        <v>0</v>
      </c>
      <c r="DN3" t="e">
        <f>AND('Air Dispersion Modeling Survey'!A161,"AAAAAH8/33U=")</f>
        <v>#VALUE!</v>
      </c>
      <c r="DO3" t="e">
        <f>AND('Air Dispersion Modeling Survey'!B161,"AAAAAH8/33Y=")</f>
        <v>#VALUE!</v>
      </c>
      <c r="DP3">
        <f>IF('Air Dispersion Modeling Survey'!162:162,"AAAAAH8/33c=",0)</f>
        <v>0</v>
      </c>
      <c r="DQ3" t="e">
        <f>AND('Air Dispersion Modeling Survey'!A162,"AAAAAH8/33g=")</f>
        <v>#VALUE!</v>
      </c>
      <c r="DR3" t="e">
        <f>AND('Air Dispersion Modeling Survey'!B162,"AAAAAH8/33k=")</f>
        <v>#VALUE!</v>
      </c>
      <c r="DS3">
        <f>IF('Air Dispersion Modeling Survey'!163:163,"AAAAAH8/33o=",0)</f>
        <v>0</v>
      </c>
      <c r="DT3" t="e">
        <f>AND('Air Dispersion Modeling Survey'!A163,"AAAAAH8/33s=")</f>
        <v>#VALUE!</v>
      </c>
      <c r="DU3" t="e">
        <f>AND('Air Dispersion Modeling Survey'!B163,"AAAAAH8/33w=")</f>
        <v>#VALUE!</v>
      </c>
      <c r="DV3">
        <f>IF('Air Dispersion Modeling Survey'!164:164,"AAAAAH8/330=",0)</f>
        <v>0</v>
      </c>
      <c r="DW3" t="e">
        <f>AND('Air Dispersion Modeling Survey'!A164,"AAAAAH8/334=")</f>
        <v>#VALUE!</v>
      </c>
      <c r="DX3" t="e">
        <f>AND('Air Dispersion Modeling Survey'!B164,"AAAAAH8/338=")</f>
        <v>#VALUE!</v>
      </c>
      <c r="DY3">
        <f>IF('Air Dispersion Modeling Survey'!165:165,"AAAAAH8/34A=",0)</f>
        <v>0</v>
      </c>
      <c r="DZ3" t="e">
        <f>AND('Air Dispersion Modeling Survey'!A165,"AAAAAH8/34E=")</f>
        <v>#VALUE!</v>
      </c>
      <c r="EA3" t="e">
        <f>AND('Air Dispersion Modeling Survey'!B165,"AAAAAH8/34I=")</f>
        <v>#VALUE!</v>
      </c>
      <c r="EB3">
        <f>IF('Air Dispersion Modeling Survey'!166:166,"AAAAAH8/34M=",0)</f>
        <v>0</v>
      </c>
      <c r="EC3" t="e">
        <f>AND('Air Dispersion Modeling Survey'!A166,"AAAAAH8/34Q=")</f>
        <v>#VALUE!</v>
      </c>
      <c r="ED3" t="e">
        <f>AND('Air Dispersion Modeling Survey'!B166,"AAAAAH8/34U=")</f>
        <v>#VALUE!</v>
      </c>
      <c r="EE3">
        <f>IF('Air Dispersion Modeling Survey'!167:167,"AAAAAH8/34Y=",0)</f>
        <v>0</v>
      </c>
      <c r="EF3" t="e">
        <f>AND('Air Dispersion Modeling Survey'!A167,"AAAAAH8/34c=")</f>
        <v>#VALUE!</v>
      </c>
      <c r="EG3" t="e">
        <f>AND('Air Dispersion Modeling Survey'!B167,"AAAAAH8/34g=")</f>
        <v>#VALUE!</v>
      </c>
      <c r="EH3">
        <f>IF('Air Dispersion Modeling Survey'!168:168,"AAAAAH8/34k=",0)</f>
        <v>0</v>
      </c>
      <c r="EI3" t="e">
        <f>AND('Air Dispersion Modeling Survey'!A168,"AAAAAH8/34o=")</f>
        <v>#VALUE!</v>
      </c>
      <c r="EJ3" t="e">
        <f>AND('Air Dispersion Modeling Survey'!B168,"AAAAAH8/34s=")</f>
        <v>#VALUE!</v>
      </c>
      <c r="EK3">
        <f>IF('Air Dispersion Modeling Survey'!169:169,"AAAAAH8/34w=",0)</f>
        <v>0</v>
      </c>
      <c r="EL3" t="e">
        <f>AND('Air Dispersion Modeling Survey'!A169,"AAAAAH8/340=")</f>
        <v>#VALUE!</v>
      </c>
      <c r="EM3" t="e">
        <f>AND('Air Dispersion Modeling Survey'!B169,"AAAAAH8/344=")</f>
        <v>#VALUE!</v>
      </c>
      <c r="EN3">
        <f>IF('Air Dispersion Modeling Survey'!170:170,"AAAAAH8/348=",0)</f>
        <v>0</v>
      </c>
      <c r="EO3" t="e">
        <f>AND('Air Dispersion Modeling Survey'!A170,"AAAAAH8/35A=")</f>
        <v>#VALUE!</v>
      </c>
      <c r="EP3" t="e">
        <f>AND('Air Dispersion Modeling Survey'!B170,"AAAAAH8/35E=")</f>
        <v>#VALUE!</v>
      </c>
      <c r="EQ3">
        <f>IF('Air Dispersion Modeling Survey'!171:171,"AAAAAH8/35I=",0)</f>
        <v>0</v>
      </c>
      <c r="ER3" t="e">
        <f>AND('Air Dispersion Modeling Survey'!A171,"AAAAAH8/35M=")</f>
        <v>#VALUE!</v>
      </c>
      <c r="ES3" t="e">
        <f>AND('Air Dispersion Modeling Survey'!B171,"AAAAAH8/35Q=")</f>
        <v>#VALUE!</v>
      </c>
      <c r="ET3">
        <f>IF('Air Dispersion Modeling Survey'!172:172,"AAAAAH8/35U=",0)</f>
        <v>0</v>
      </c>
      <c r="EU3" t="e">
        <f>AND('Air Dispersion Modeling Survey'!A172,"AAAAAH8/35Y=")</f>
        <v>#VALUE!</v>
      </c>
      <c r="EV3" t="e">
        <f>AND('Air Dispersion Modeling Survey'!B172,"AAAAAH8/35c=")</f>
        <v>#VALUE!</v>
      </c>
      <c r="EW3">
        <f>IF('Air Dispersion Modeling Survey'!173:173,"AAAAAH8/35g=",0)</f>
        <v>0</v>
      </c>
      <c r="EX3" t="e">
        <f>AND('Air Dispersion Modeling Survey'!A173,"AAAAAH8/35k=")</f>
        <v>#VALUE!</v>
      </c>
      <c r="EY3" t="e">
        <f>AND('Air Dispersion Modeling Survey'!B173,"AAAAAH8/35o=")</f>
        <v>#VALUE!</v>
      </c>
      <c r="EZ3">
        <f>IF('Air Dispersion Modeling Survey'!174:174,"AAAAAH8/35s=",0)</f>
        <v>0</v>
      </c>
      <c r="FA3" t="e">
        <f>AND('Air Dispersion Modeling Survey'!A174,"AAAAAH8/35w=")</f>
        <v>#VALUE!</v>
      </c>
      <c r="FB3" t="e">
        <f>AND('Air Dispersion Modeling Survey'!B174,"AAAAAH8/350=")</f>
        <v>#VALUE!</v>
      </c>
      <c r="FC3">
        <f>IF('Air Dispersion Modeling Survey'!175:175,"AAAAAH8/354=",0)</f>
        <v>0</v>
      </c>
      <c r="FD3" t="e">
        <f>AND('Air Dispersion Modeling Survey'!A175,"AAAAAH8/358=")</f>
        <v>#VALUE!</v>
      </c>
      <c r="FE3" t="e">
        <f>AND('Air Dispersion Modeling Survey'!B175,"AAAAAH8/36A=")</f>
        <v>#VALUE!</v>
      </c>
      <c r="FF3">
        <f>IF('Air Dispersion Modeling Survey'!176:176,"AAAAAH8/36E=",0)</f>
        <v>0</v>
      </c>
      <c r="FG3" t="e">
        <f>AND('Air Dispersion Modeling Survey'!A176,"AAAAAH8/36I=")</f>
        <v>#VALUE!</v>
      </c>
      <c r="FH3" t="e">
        <f>AND('Air Dispersion Modeling Survey'!B176,"AAAAAH8/36M=")</f>
        <v>#VALUE!</v>
      </c>
      <c r="FI3">
        <f>IF('Air Dispersion Modeling Survey'!177:177,"AAAAAH8/36Q=",0)</f>
        <v>0</v>
      </c>
      <c r="FJ3" t="e">
        <f>AND('Air Dispersion Modeling Survey'!A177,"AAAAAH8/36U=")</f>
        <v>#VALUE!</v>
      </c>
      <c r="FK3" t="e">
        <f>AND('Air Dispersion Modeling Survey'!B177,"AAAAAH8/36Y=")</f>
        <v>#VALUE!</v>
      </c>
      <c r="FL3">
        <f>IF('Air Dispersion Modeling Survey'!178:178,"AAAAAH8/36c=",0)</f>
        <v>0</v>
      </c>
      <c r="FM3" t="e">
        <f>AND('Air Dispersion Modeling Survey'!A178,"AAAAAH8/36g=")</f>
        <v>#VALUE!</v>
      </c>
      <c r="FN3" t="e">
        <f>AND('Air Dispersion Modeling Survey'!B178,"AAAAAH8/36k=")</f>
        <v>#VALUE!</v>
      </c>
      <c r="FO3">
        <f>IF('Air Dispersion Modeling Survey'!179:179,"AAAAAH8/36o=",0)</f>
        <v>0</v>
      </c>
      <c r="FP3" t="e">
        <f>AND('Air Dispersion Modeling Survey'!A179,"AAAAAH8/36s=")</f>
        <v>#VALUE!</v>
      </c>
      <c r="FQ3" t="e">
        <f>AND('Air Dispersion Modeling Survey'!B179,"AAAAAH8/36w=")</f>
        <v>#VALUE!</v>
      </c>
      <c r="FR3">
        <f>IF('Air Dispersion Modeling Survey'!180:180,"AAAAAH8/360=",0)</f>
        <v>0</v>
      </c>
      <c r="FS3" t="e">
        <f>AND('Air Dispersion Modeling Survey'!A180,"AAAAAH8/364=")</f>
        <v>#VALUE!</v>
      </c>
      <c r="FT3" t="e">
        <f>AND('Air Dispersion Modeling Survey'!B180,"AAAAAH8/368=")</f>
        <v>#VALUE!</v>
      </c>
      <c r="FU3">
        <f>IF('Air Dispersion Modeling Survey'!181:181,"AAAAAH8/37A=",0)</f>
        <v>0</v>
      </c>
      <c r="FV3" t="e">
        <f>AND('Air Dispersion Modeling Survey'!A181,"AAAAAH8/37E=")</f>
        <v>#VALUE!</v>
      </c>
      <c r="FW3" t="e">
        <f>AND('Air Dispersion Modeling Survey'!B181,"AAAAAH8/37I=")</f>
        <v>#VALUE!</v>
      </c>
      <c r="FX3">
        <f>IF('Air Dispersion Modeling Survey'!182:182,"AAAAAH8/37M=",0)</f>
        <v>0</v>
      </c>
      <c r="FY3" t="e">
        <f>AND('Air Dispersion Modeling Survey'!A182,"AAAAAH8/37Q=")</f>
        <v>#VALUE!</v>
      </c>
      <c r="FZ3" t="e">
        <f>AND('Air Dispersion Modeling Survey'!B182,"AAAAAH8/37U=")</f>
        <v>#VALUE!</v>
      </c>
      <c r="GA3">
        <f>IF('Air Dispersion Modeling Survey'!183:183,"AAAAAH8/37Y=",0)</f>
        <v>0</v>
      </c>
      <c r="GB3" t="e">
        <f>AND('Air Dispersion Modeling Survey'!A183,"AAAAAH8/37c=")</f>
        <v>#VALUE!</v>
      </c>
      <c r="GC3" t="e">
        <f>AND('Air Dispersion Modeling Survey'!B183,"AAAAAH8/37g=")</f>
        <v>#VALUE!</v>
      </c>
      <c r="GD3">
        <f>IF('Air Dispersion Modeling Survey'!184:184,"AAAAAH8/37k=",0)</f>
        <v>0</v>
      </c>
      <c r="GE3" t="e">
        <f>AND('Air Dispersion Modeling Survey'!A184,"AAAAAH8/37o=")</f>
        <v>#VALUE!</v>
      </c>
      <c r="GF3" t="e">
        <f>AND('Air Dispersion Modeling Survey'!B184,"AAAAAH8/37s=")</f>
        <v>#VALUE!</v>
      </c>
      <c r="GG3">
        <f>IF('Air Dispersion Modeling Survey'!185:185,"AAAAAH8/37w=",0)</f>
        <v>0</v>
      </c>
      <c r="GH3" t="e">
        <f>AND('Air Dispersion Modeling Survey'!A185,"AAAAAH8/370=")</f>
        <v>#VALUE!</v>
      </c>
      <c r="GI3" t="e">
        <f>AND('Air Dispersion Modeling Survey'!B185,"AAAAAH8/374=")</f>
        <v>#VALUE!</v>
      </c>
      <c r="GJ3">
        <f>IF('Air Dispersion Modeling Survey'!186:186,"AAAAAH8/378=",0)</f>
        <v>0</v>
      </c>
      <c r="GK3" t="e">
        <f>AND('Air Dispersion Modeling Survey'!A186,"AAAAAH8/38A=")</f>
        <v>#VALUE!</v>
      </c>
      <c r="GL3" t="e">
        <f>AND('Air Dispersion Modeling Survey'!B186,"AAAAAH8/38E=")</f>
        <v>#VALUE!</v>
      </c>
      <c r="GM3">
        <f>IF('Air Dispersion Modeling Survey'!187:187,"AAAAAH8/38I=",0)</f>
        <v>0</v>
      </c>
      <c r="GN3" t="e">
        <f>AND('Air Dispersion Modeling Survey'!A187,"AAAAAH8/38M=")</f>
        <v>#VALUE!</v>
      </c>
      <c r="GO3" t="e">
        <f>AND('Air Dispersion Modeling Survey'!B187,"AAAAAH8/38Q=")</f>
        <v>#VALUE!</v>
      </c>
      <c r="GP3">
        <f>IF('Air Dispersion Modeling Survey'!188:188,"AAAAAH8/38U=",0)</f>
        <v>0</v>
      </c>
      <c r="GQ3" t="e">
        <f>AND('Air Dispersion Modeling Survey'!A188,"AAAAAH8/38Y=")</f>
        <v>#VALUE!</v>
      </c>
      <c r="GR3" t="e">
        <f>AND('Air Dispersion Modeling Survey'!B188,"AAAAAH8/38c=")</f>
        <v>#VALUE!</v>
      </c>
      <c r="GS3">
        <f>IF('Air Dispersion Modeling Survey'!189:189,"AAAAAH8/38g=",0)</f>
        <v>0</v>
      </c>
      <c r="GT3" t="e">
        <f>AND('Air Dispersion Modeling Survey'!A189,"AAAAAH8/38k=")</f>
        <v>#VALUE!</v>
      </c>
      <c r="GU3" t="e">
        <f>AND('Air Dispersion Modeling Survey'!B189,"AAAAAH8/38o=")</f>
        <v>#VALUE!</v>
      </c>
      <c r="GV3">
        <f>IF('Air Dispersion Modeling Survey'!190:190,"AAAAAH8/38s=",0)</f>
        <v>0</v>
      </c>
      <c r="GW3" t="e">
        <f>AND('Air Dispersion Modeling Survey'!A190,"AAAAAH8/38w=")</f>
        <v>#VALUE!</v>
      </c>
      <c r="GX3" t="e">
        <f>AND('Air Dispersion Modeling Survey'!B190,"AAAAAH8/380=")</f>
        <v>#VALUE!</v>
      </c>
      <c r="GY3">
        <f>IF('Air Dispersion Modeling Survey'!191:191,"AAAAAH8/384=",0)</f>
        <v>0</v>
      </c>
      <c r="GZ3" t="e">
        <f>AND('Air Dispersion Modeling Survey'!A191,"AAAAAH8/388=")</f>
        <v>#VALUE!</v>
      </c>
      <c r="HA3" t="e">
        <f>AND('Air Dispersion Modeling Survey'!B191,"AAAAAH8/39A=")</f>
        <v>#VALUE!</v>
      </c>
      <c r="HB3">
        <f>IF('Air Dispersion Modeling Survey'!192:192,"AAAAAH8/39E=",0)</f>
        <v>0</v>
      </c>
      <c r="HC3" t="e">
        <f>AND('Air Dispersion Modeling Survey'!A192,"AAAAAH8/39I=")</f>
        <v>#VALUE!</v>
      </c>
      <c r="HD3" t="e">
        <f>AND('Air Dispersion Modeling Survey'!B192,"AAAAAH8/39M=")</f>
        <v>#VALUE!</v>
      </c>
      <c r="HE3">
        <f>IF('Air Dispersion Modeling Survey'!193:193,"AAAAAH8/39Q=",0)</f>
        <v>0</v>
      </c>
      <c r="HF3" t="e">
        <f>AND('Air Dispersion Modeling Survey'!A193,"AAAAAH8/39U=")</f>
        <v>#VALUE!</v>
      </c>
      <c r="HG3" t="e">
        <f>AND('Air Dispersion Modeling Survey'!B193,"AAAAAH8/39Y=")</f>
        <v>#VALUE!</v>
      </c>
      <c r="HH3">
        <f>IF('Air Dispersion Modeling Survey'!194:194,"AAAAAH8/39c=",0)</f>
        <v>0</v>
      </c>
      <c r="HI3" t="e">
        <f>AND('Air Dispersion Modeling Survey'!A194,"AAAAAH8/39g=")</f>
        <v>#VALUE!</v>
      </c>
      <c r="HJ3" t="e">
        <f>AND('Air Dispersion Modeling Survey'!B194,"AAAAAH8/39k=")</f>
        <v>#VALUE!</v>
      </c>
      <c r="HK3">
        <f>IF('Air Dispersion Modeling Survey'!195:195,"AAAAAH8/39o=",0)</f>
        <v>0</v>
      </c>
      <c r="HL3" t="e">
        <f>AND('Air Dispersion Modeling Survey'!A195,"AAAAAH8/39s=")</f>
        <v>#VALUE!</v>
      </c>
      <c r="HM3" t="e">
        <f>AND('Air Dispersion Modeling Survey'!B195,"AAAAAH8/39w=")</f>
        <v>#VALUE!</v>
      </c>
      <c r="HN3">
        <f>IF('Air Dispersion Modeling Survey'!196:196,"AAAAAH8/390=",0)</f>
        <v>0</v>
      </c>
      <c r="HO3" t="e">
        <f>AND('Air Dispersion Modeling Survey'!A196,"AAAAAH8/394=")</f>
        <v>#VALUE!</v>
      </c>
      <c r="HP3" t="e">
        <f>AND('Air Dispersion Modeling Survey'!B196,"AAAAAH8/398=")</f>
        <v>#VALUE!</v>
      </c>
      <c r="HQ3">
        <f>IF('Air Dispersion Modeling Survey'!197:197,"AAAAAH8/3+A=",0)</f>
        <v>0</v>
      </c>
      <c r="HR3" t="e">
        <f>AND('Air Dispersion Modeling Survey'!A197,"AAAAAH8/3+E=")</f>
        <v>#VALUE!</v>
      </c>
      <c r="HS3" t="e">
        <f>AND('Air Dispersion Modeling Survey'!B197,"AAAAAH8/3+I=")</f>
        <v>#VALUE!</v>
      </c>
      <c r="HT3">
        <f>IF('Air Dispersion Modeling Survey'!198:198,"AAAAAH8/3+M=",0)</f>
        <v>0</v>
      </c>
      <c r="HU3" t="e">
        <f>AND('Air Dispersion Modeling Survey'!A198,"AAAAAH8/3+Q=")</f>
        <v>#VALUE!</v>
      </c>
      <c r="HV3" t="e">
        <f>AND('Air Dispersion Modeling Survey'!B198,"AAAAAH8/3+U=")</f>
        <v>#VALUE!</v>
      </c>
      <c r="HW3">
        <f>IF('Air Dispersion Modeling Survey'!199:199,"AAAAAH8/3+Y=",0)</f>
        <v>0</v>
      </c>
      <c r="HX3" t="e">
        <f>AND('Air Dispersion Modeling Survey'!A199,"AAAAAH8/3+c=")</f>
        <v>#VALUE!</v>
      </c>
      <c r="HY3" t="e">
        <f>AND('Air Dispersion Modeling Survey'!B199,"AAAAAH8/3+g=")</f>
        <v>#VALUE!</v>
      </c>
      <c r="HZ3">
        <f>IF('Air Dispersion Modeling Survey'!200:200,"AAAAAH8/3+k=",0)</f>
        <v>0</v>
      </c>
      <c r="IA3" t="e">
        <f>AND('Air Dispersion Modeling Survey'!A200,"AAAAAH8/3+o=")</f>
        <v>#VALUE!</v>
      </c>
      <c r="IB3" t="e">
        <f>AND('Air Dispersion Modeling Survey'!B200,"AAAAAH8/3+s=")</f>
        <v>#VALUE!</v>
      </c>
      <c r="IC3">
        <f>IF('Air Dispersion Modeling Survey'!201:201,"AAAAAH8/3+w=",0)</f>
        <v>0</v>
      </c>
      <c r="ID3" t="e">
        <f>AND('Air Dispersion Modeling Survey'!A201,"AAAAAH8/3+0=")</f>
        <v>#VALUE!</v>
      </c>
      <c r="IE3" t="e">
        <f>AND('Air Dispersion Modeling Survey'!B201,"AAAAAH8/3+4=")</f>
        <v>#VALUE!</v>
      </c>
      <c r="IF3">
        <f>IF('Air Dispersion Modeling Survey'!202:202,"AAAAAH8/3+8=",0)</f>
        <v>0</v>
      </c>
      <c r="IG3" t="e">
        <f>AND('Air Dispersion Modeling Survey'!A202,"AAAAAH8/3/A=")</f>
        <v>#VALUE!</v>
      </c>
      <c r="IH3" t="e">
        <f>AND('Air Dispersion Modeling Survey'!B202,"AAAAAH8/3/E=")</f>
        <v>#VALUE!</v>
      </c>
      <c r="II3">
        <f>IF('Air Dispersion Modeling Survey'!203:203,"AAAAAH8/3/I=",0)</f>
        <v>0</v>
      </c>
      <c r="IJ3" t="e">
        <f>AND('Air Dispersion Modeling Survey'!A203,"AAAAAH8/3/M=")</f>
        <v>#VALUE!</v>
      </c>
      <c r="IK3" t="e">
        <f>AND('Air Dispersion Modeling Survey'!B203,"AAAAAH8/3/Q=")</f>
        <v>#VALUE!</v>
      </c>
      <c r="IL3">
        <f>IF('Air Dispersion Modeling Survey'!204:204,"AAAAAH8/3/U=",0)</f>
        <v>0</v>
      </c>
      <c r="IM3" t="e">
        <f>AND('Air Dispersion Modeling Survey'!A204,"AAAAAH8/3/Y=")</f>
        <v>#VALUE!</v>
      </c>
      <c r="IN3" t="e">
        <f>AND('Air Dispersion Modeling Survey'!B204,"AAAAAH8/3/c=")</f>
        <v>#VALUE!</v>
      </c>
      <c r="IO3">
        <f>IF('Air Dispersion Modeling Survey'!205:205,"AAAAAH8/3/g=",0)</f>
        <v>0</v>
      </c>
      <c r="IP3" t="e">
        <f>AND('Air Dispersion Modeling Survey'!A205,"AAAAAH8/3/k=")</f>
        <v>#VALUE!</v>
      </c>
      <c r="IQ3" t="e">
        <f>AND('Air Dispersion Modeling Survey'!B205,"AAAAAH8/3/o=")</f>
        <v>#VALUE!</v>
      </c>
      <c r="IR3">
        <f>IF('Air Dispersion Modeling Survey'!206:206,"AAAAAH8/3/s=",0)</f>
        <v>0</v>
      </c>
      <c r="IS3" t="e">
        <f>AND('Air Dispersion Modeling Survey'!A206,"AAAAAH8/3/w=")</f>
        <v>#VALUE!</v>
      </c>
      <c r="IT3" t="e">
        <f>AND('Air Dispersion Modeling Survey'!B206,"AAAAAH8/3/0=")</f>
        <v>#VALUE!</v>
      </c>
      <c r="IU3">
        <f>IF('Air Dispersion Modeling Survey'!207:207,"AAAAAH8/3/4=",0)</f>
        <v>0</v>
      </c>
      <c r="IV3" t="e">
        <f>AND('Air Dispersion Modeling Survey'!A207,"AAAAAH8/3/8=")</f>
        <v>#VALUE!</v>
      </c>
    </row>
    <row r="4" spans="1:256" ht="15">
      <c r="A4" t="e">
        <f>AND('Air Dispersion Modeling Survey'!B207,"AAAAADoj5gA=")</f>
        <v>#VALUE!</v>
      </c>
      <c r="B4" t="e">
        <f>IF('Air Dispersion Modeling Survey'!208:208,"AAAAADoj5gE=",0)</f>
        <v>#VALUE!</v>
      </c>
      <c r="C4" t="e">
        <f>AND('Air Dispersion Modeling Survey'!A208,"AAAAADoj5gI=")</f>
        <v>#VALUE!</v>
      </c>
      <c r="D4" t="e">
        <f>AND('Air Dispersion Modeling Survey'!B208,"AAAAADoj5gM=")</f>
        <v>#VALUE!</v>
      </c>
      <c r="E4">
        <f>IF('Air Dispersion Modeling Survey'!209:209,"AAAAADoj5gQ=",0)</f>
        <v>0</v>
      </c>
      <c r="F4" t="e">
        <f>AND('Air Dispersion Modeling Survey'!A209,"AAAAADoj5gU=")</f>
        <v>#VALUE!</v>
      </c>
      <c r="G4" t="e">
        <f>AND('Air Dispersion Modeling Survey'!B209,"AAAAADoj5gY=")</f>
        <v>#VALUE!</v>
      </c>
      <c r="H4">
        <f>IF('Air Dispersion Modeling Survey'!210:210,"AAAAADoj5gc=",0)</f>
        <v>0</v>
      </c>
      <c r="I4" t="e">
        <f>AND('Air Dispersion Modeling Survey'!A210,"AAAAADoj5gg=")</f>
        <v>#VALUE!</v>
      </c>
      <c r="J4" t="e">
        <f>AND('Air Dispersion Modeling Survey'!B210,"AAAAADoj5gk=")</f>
        <v>#VALUE!</v>
      </c>
      <c r="K4">
        <f>IF('Air Dispersion Modeling Survey'!211:211,"AAAAADoj5go=",0)</f>
        <v>0</v>
      </c>
      <c r="L4" t="e">
        <f>AND('Air Dispersion Modeling Survey'!A211,"AAAAADoj5gs=")</f>
        <v>#VALUE!</v>
      </c>
      <c r="M4" t="e">
        <f>AND('Air Dispersion Modeling Survey'!B211,"AAAAADoj5gw=")</f>
        <v>#VALUE!</v>
      </c>
      <c r="N4">
        <f>IF('Air Dispersion Modeling Survey'!212:212,"AAAAADoj5g0=",0)</f>
        <v>0</v>
      </c>
      <c r="O4" t="e">
        <f>AND('Air Dispersion Modeling Survey'!A212,"AAAAADoj5g4=")</f>
        <v>#VALUE!</v>
      </c>
      <c r="P4" t="e">
        <f>AND('Air Dispersion Modeling Survey'!B212,"AAAAADoj5g8=")</f>
        <v>#VALUE!</v>
      </c>
      <c r="Q4">
        <f>IF('Air Dispersion Modeling Survey'!213:213,"AAAAADoj5hA=",0)</f>
        <v>0</v>
      </c>
      <c r="R4" t="e">
        <f>AND('Air Dispersion Modeling Survey'!A213,"AAAAADoj5hE=")</f>
        <v>#VALUE!</v>
      </c>
      <c r="S4" t="e">
        <f>AND('Air Dispersion Modeling Survey'!B213,"AAAAADoj5hI=")</f>
        <v>#VALUE!</v>
      </c>
      <c r="T4">
        <f>IF('Air Dispersion Modeling Survey'!214:214,"AAAAADoj5hM=",0)</f>
        <v>0</v>
      </c>
      <c r="U4" t="e">
        <f>AND('Air Dispersion Modeling Survey'!A214,"AAAAADoj5hQ=")</f>
        <v>#VALUE!</v>
      </c>
      <c r="V4" t="e">
        <f>AND('Air Dispersion Modeling Survey'!B214,"AAAAADoj5hU=")</f>
        <v>#VALUE!</v>
      </c>
      <c r="W4">
        <f>IF('Air Dispersion Modeling Survey'!215:215,"AAAAADoj5hY=",0)</f>
        <v>0</v>
      </c>
      <c r="X4" t="e">
        <f>AND('Air Dispersion Modeling Survey'!A215,"AAAAADoj5hc=")</f>
        <v>#VALUE!</v>
      </c>
      <c r="Y4" t="e">
        <f>AND('Air Dispersion Modeling Survey'!B215,"AAAAADoj5hg=")</f>
        <v>#VALUE!</v>
      </c>
      <c r="Z4">
        <f>IF('Air Dispersion Modeling Survey'!216:216,"AAAAADoj5hk=",0)</f>
        <v>0</v>
      </c>
      <c r="AA4" t="e">
        <f>AND('Air Dispersion Modeling Survey'!A216,"AAAAADoj5ho=")</f>
        <v>#VALUE!</v>
      </c>
      <c r="AB4" t="e">
        <f>AND('Air Dispersion Modeling Survey'!B216,"AAAAADoj5hs=")</f>
        <v>#VALUE!</v>
      </c>
      <c r="AC4">
        <f>IF('Air Dispersion Modeling Survey'!217:217,"AAAAADoj5hw=",0)</f>
        <v>0</v>
      </c>
      <c r="AD4" t="e">
        <f>AND('Air Dispersion Modeling Survey'!A217,"AAAAADoj5h0=")</f>
        <v>#VALUE!</v>
      </c>
      <c r="AE4" t="e">
        <f>AND('Air Dispersion Modeling Survey'!B217,"AAAAADoj5h4=")</f>
        <v>#VALUE!</v>
      </c>
      <c r="AF4">
        <f>IF('Air Dispersion Modeling Survey'!218:218,"AAAAADoj5h8=",0)</f>
        <v>0</v>
      </c>
      <c r="AG4" t="e">
        <f>AND('Air Dispersion Modeling Survey'!A218,"AAAAADoj5iA=")</f>
        <v>#VALUE!</v>
      </c>
      <c r="AH4" t="e">
        <f>AND('Air Dispersion Modeling Survey'!B218,"AAAAADoj5iE=")</f>
        <v>#VALUE!</v>
      </c>
      <c r="AI4">
        <f>IF('Air Dispersion Modeling Survey'!219:219,"AAAAADoj5iI=",0)</f>
        <v>0</v>
      </c>
      <c r="AJ4" t="e">
        <f>AND('Air Dispersion Modeling Survey'!A219,"AAAAADoj5iM=")</f>
        <v>#VALUE!</v>
      </c>
      <c r="AK4" t="e">
        <f>AND('Air Dispersion Modeling Survey'!B219,"AAAAADoj5iQ=")</f>
        <v>#VALUE!</v>
      </c>
      <c r="AL4">
        <f>IF('Air Dispersion Modeling Survey'!220:220,"AAAAADoj5iU=",0)</f>
        <v>0</v>
      </c>
      <c r="AM4" t="e">
        <f>AND('Air Dispersion Modeling Survey'!A220,"AAAAADoj5iY=")</f>
        <v>#VALUE!</v>
      </c>
      <c r="AN4" t="e">
        <f>AND('Air Dispersion Modeling Survey'!B220,"AAAAADoj5ic=")</f>
        <v>#VALUE!</v>
      </c>
      <c r="AO4">
        <f>IF('Air Dispersion Modeling Survey'!221:221,"AAAAADoj5ig=",0)</f>
        <v>0</v>
      </c>
      <c r="AP4" t="e">
        <f>AND('Air Dispersion Modeling Survey'!A221,"AAAAADoj5ik=")</f>
        <v>#VALUE!</v>
      </c>
      <c r="AQ4" t="e">
        <f>AND('Air Dispersion Modeling Survey'!B221,"AAAAADoj5io=")</f>
        <v>#VALUE!</v>
      </c>
      <c r="AR4">
        <f>IF('Air Dispersion Modeling Survey'!222:222,"AAAAADoj5is=",0)</f>
        <v>0</v>
      </c>
      <c r="AS4" t="e">
        <f>AND('Air Dispersion Modeling Survey'!A222,"AAAAADoj5iw=")</f>
        <v>#VALUE!</v>
      </c>
      <c r="AT4" t="e">
        <f>AND('Air Dispersion Modeling Survey'!B222,"AAAAADoj5i0=")</f>
        <v>#VALUE!</v>
      </c>
      <c r="AU4">
        <f>IF('Air Dispersion Modeling Survey'!223:223,"AAAAADoj5i4=",0)</f>
        <v>0</v>
      </c>
      <c r="AV4" t="e">
        <f>AND('Air Dispersion Modeling Survey'!A223,"AAAAADoj5i8=")</f>
        <v>#VALUE!</v>
      </c>
      <c r="AW4" t="e">
        <f>AND('Air Dispersion Modeling Survey'!B223,"AAAAADoj5jA=")</f>
        <v>#VALUE!</v>
      </c>
      <c r="AX4">
        <f>IF('Air Dispersion Modeling Survey'!224:224,"AAAAADoj5jE=",0)</f>
        <v>0</v>
      </c>
      <c r="AY4" t="e">
        <f>AND('Air Dispersion Modeling Survey'!A224,"AAAAADoj5jI=")</f>
        <v>#VALUE!</v>
      </c>
      <c r="AZ4" t="e">
        <f>AND('Air Dispersion Modeling Survey'!B224,"AAAAADoj5jM=")</f>
        <v>#VALUE!</v>
      </c>
      <c r="BA4">
        <f>IF('Air Dispersion Modeling Survey'!225:225,"AAAAADoj5jQ=",0)</f>
        <v>0</v>
      </c>
      <c r="BB4" t="e">
        <f>AND('Air Dispersion Modeling Survey'!A225,"AAAAADoj5jU=")</f>
        <v>#VALUE!</v>
      </c>
      <c r="BC4" t="e">
        <f>AND('Air Dispersion Modeling Survey'!B225,"AAAAADoj5jY=")</f>
        <v>#VALUE!</v>
      </c>
      <c r="BD4">
        <f>IF('Air Dispersion Modeling Survey'!226:226,"AAAAADoj5jc=",0)</f>
        <v>0</v>
      </c>
      <c r="BE4" t="e">
        <f>AND('Air Dispersion Modeling Survey'!A226,"AAAAADoj5jg=")</f>
        <v>#VALUE!</v>
      </c>
      <c r="BF4" t="e">
        <f>AND('Air Dispersion Modeling Survey'!B226,"AAAAADoj5jk=")</f>
        <v>#VALUE!</v>
      </c>
      <c r="BG4">
        <f>IF('Air Dispersion Modeling Survey'!227:227,"AAAAADoj5jo=",0)</f>
        <v>0</v>
      </c>
      <c r="BH4" t="e">
        <f>AND('Air Dispersion Modeling Survey'!A227,"AAAAADoj5js=")</f>
        <v>#VALUE!</v>
      </c>
      <c r="BI4" t="e">
        <f>AND('Air Dispersion Modeling Survey'!B227,"AAAAADoj5jw=")</f>
        <v>#VALUE!</v>
      </c>
      <c r="BJ4">
        <f>IF('Air Dispersion Modeling Survey'!228:228,"AAAAADoj5j0=",0)</f>
        <v>0</v>
      </c>
      <c r="BK4" t="e">
        <f>AND('Air Dispersion Modeling Survey'!A228,"AAAAADoj5j4=")</f>
        <v>#VALUE!</v>
      </c>
      <c r="BL4" t="e">
        <f>AND('Air Dispersion Modeling Survey'!B228,"AAAAADoj5j8=")</f>
        <v>#VALUE!</v>
      </c>
      <c r="BM4">
        <f>IF('Air Dispersion Modeling Survey'!229:229,"AAAAADoj5kA=",0)</f>
        <v>0</v>
      </c>
      <c r="BN4" t="e">
        <f>AND('Air Dispersion Modeling Survey'!A229,"AAAAADoj5kE=")</f>
        <v>#VALUE!</v>
      </c>
      <c r="BO4" t="e">
        <f>AND('Air Dispersion Modeling Survey'!B229,"AAAAADoj5kI=")</f>
        <v>#VALUE!</v>
      </c>
      <c r="BP4">
        <f>IF('Air Dispersion Modeling Survey'!230:230,"AAAAADoj5kM=",0)</f>
        <v>0</v>
      </c>
      <c r="BQ4" t="e">
        <f>AND('Air Dispersion Modeling Survey'!A230,"AAAAADoj5kQ=")</f>
        <v>#VALUE!</v>
      </c>
      <c r="BR4" t="e">
        <f>AND('Air Dispersion Modeling Survey'!B230,"AAAAADoj5kU=")</f>
        <v>#VALUE!</v>
      </c>
      <c r="BS4">
        <f>IF('Air Dispersion Modeling Survey'!231:231,"AAAAADoj5kY=",0)</f>
        <v>0</v>
      </c>
      <c r="BT4" t="e">
        <f>AND('Air Dispersion Modeling Survey'!A231,"AAAAADoj5kc=")</f>
        <v>#VALUE!</v>
      </c>
      <c r="BU4" t="e">
        <f>AND('Air Dispersion Modeling Survey'!B231,"AAAAADoj5kg=")</f>
        <v>#VALUE!</v>
      </c>
      <c r="BV4">
        <f>IF('Air Dispersion Modeling Survey'!232:232,"AAAAADoj5kk=",0)</f>
        <v>0</v>
      </c>
      <c r="BW4" t="e">
        <f>AND('Air Dispersion Modeling Survey'!A232,"AAAAADoj5ko=")</f>
        <v>#VALUE!</v>
      </c>
      <c r="BX4" t="e">
        <f>AND('Air Dispersion Modeling Survey'!B232,"AAAAADoj5ks=")</f>
        <v>#VALUE!</v>
      </c>
      <c r="BY4">
        <f>IF('Air Dispersion Modeling Survey'!233:233,"AAAAADoj5kw=",0)</f>
        <v>0</v>
      </c>
      <c r="BZ4" t="e">
        <f>AND('Air Dispersion Modeling Survey'!A233,"AAAAADoj5k0=")</f>
        <v>#VALUE!</v>
      </c>
      <c r="CA4" t="e">
        <f>AND('Air Dispersion Modeling Survey'!B233,"AAAAADoj5k4=")</f>
        <v>#VALUE!</v>
      </c>
      <c r="CB4">
        <f>IF('Air Dispersion Modeling Survey'!234:234,"AAAAADoj5k8=",0)</f>
        <v>0</v>
      </c>
      <c r="CC4" t="e">
        <f>AND('Air Dispersion Modeling Survey'!A234,"AAAAADoj5lA=")</f>
        <v>#VALUE!</v>
      </c>
      <c r="CD4" t="e">
        <f>AND('Air Dispersion Modeling Survey'!B234,"AAAAADoj5lE=")</f>
        <v>#VALUE!</v>
      </c>
      <c r="CE4">
        <f>IF('Air Dispersion Modeling Survey'!235:235,"AAAAADoj5lI=",0)</f>
        <v>0</v>
      </c>
      <c r="CF4" t="e">
        <f>AND('Air Dispersion Modeling Survey'!A235,"AAAAADoj5lM=")</f>
        <v>#VALUE!</v>
      </c>
      <c r="CG4" t="e">
        <f>AND('Air Dispersion Modeling Survey'!B235,"AAAAADoj5lQ=")</f>
        <v>#VALUE!</v>
      </c>
      <c r="CH4">
        <f>IF('Air Dispersion Modeling Survey'!236:236,"AAAAADoj5lU=",0)</f>
        <v>0</v>
      </c>
      <c r="CI4" t="e">
        <f>AND('Air Dispersion Modeling Survey'!A236,"AAAAADoj5lY=")</f>
        <v>#VALUE!</v>
      </c>
      <c r="CJ4" t="e">
        <f>AND('Air Dispersion Modeling Survey'!B236,"AAAAADoj5lc=")</f>
        <v>#VALUE!</v>
      </c>
      <c r="CK4">
        <f>IF('Air Dispersion Modeling Survey'!237:237,"AAAAADoj5lg=",0)</f>
        <v>0</v>
      </c>
      <c r="CL4" t="e">
        <f>AND('Air Dispersion Modeling Survey'!A237,"AAAAADoj5lk=")</f>
        <v>#VALUE!</v>
      </c>
      <c r="CM4" t="e">
        <f>AND('Air Dispersion Modeling Survey'!B237,"AAAAADoj5lo=")</f>
        <v>#VALUE!</v>
      </c>
      <c r="CN4">
        <f>IF('Air Dispersion Modeling Survey'!238:238,"AAAAADoj5ls=",0)</f>
        <v>0</v>
      </c>
      <c r="CO4" t="e">
        <f>AND('Air Dispersion Modeling Survey'!A238,"AAAAADoj5lw=")</f>
        <v>#VALUE!</v>
      </c>
      <c r="CP4" t="e">
        <f>AND('Air Dispersion Modeling Survey'!B238,"AAAAADoj5l0=")</f>
        <v>#VALUE!</v>
      </c>
      <c r="CQ4">
        <f>IF('Air Dispersion Modeling Survey'!239:239,"AAAAADoj5l4=",0)</f>
        <v>0</v>
      </c>
      <c r="CR4" t="e">
        <f>AND('Air Dispersion Modeling Survey'!A239,"AAAAADoj5l8=")</f>
        <v>#VALUE!</v>
      </c>
      <c r="CS4" t="e">
        <f>AND('Air Dispersion Modeling Survey'!B239,"AAAAADoj5mA=")</f>
        <v>#VALUE!</v>
      </c>
      <c r="CT4">
        <f>IF('Air Dispersion Modeling Survey'!240:240,"AAAAADoj5mE=",0)</f>
        <v>0</v>
      </c>
      <c r="CU4" t="e">
        <f>AND('Air Dispersion Modeling Survey'!A240,"AAAAADoj5mI=")</f>
        <v>#VALUE!</v>
      </c>
      <c r="CV4" t="e">
        <f>AND('Air Dispersion Modeling Survey'!B240,"AAAAADoj5mM=")</f>
        <v>#VALUE!</v>
      </c>
      <c r="CW4">
        <f>IF('Air Dispersion Modeling Survey'!241:241,"AAAAADoj5mQ=",0)</f>
        <v>0</v>
      </c>
      <c r="CX4" t="e">
        <f>AND('Air Dispersion Modeling Survey'!A241,"AAAAADoj5mU=")</f>
        <v>#VALUE!</v>
      </c>
      <c r="CY4" t="e">
        <f>AND('Air Dispersion Modeling Survey'!B241,"AAAAADoj5mY=")</f>
        <v>#VALUE!</v>
      </c>
      <c r="CZ4">
        <f>IF('Air Dispersion Modeling Survey'!242:242,"AAAAADoj5mc=",0)</f>
        <v>0</v>
      </c>
      <c r="DA4" t="e">
        <f>AND('Air Dispersion Modeling Survey'!A242,"AAAAADoj5mg=")</f>
        <v>#VALUE!</v>
      </c>
      <c r="DB4" t="e">
        <f>AND('Air Dispersion Modeling Survey'!B242,"AAAAADoj5mk=")</f>
        <v>#VALUE!</v>
      </c>
      <c r="DC4">
        <f>IF('Air Dispersion Modeling Survey'!243:243,"AAAAADoj5mo=",0)</f>
        <v>0</v>
      </c>
      <c r="DD4" t="e">
        <f>AND('Air Dispersion Modeling Survey'!A243,"AAAAADoj5ms=")</f>
        <v>#VALUE!</v>
      </c>
      <c r="DE4" t="e">
        <f>AND('Air Dispersion Modeling Survey'!B243,"AAAAADoj5mw=")</f>
        <v>#VALUE!</v>
      </c>
      <c r="DF4">
        <f>IF('Air Dispersion Modeling Survey'!244:244,"AAAAADoj5m0=",0)</f>
        <v>0</v>
      </c>
      <c r="DG4" t="e">
        <f>AND('Air Dispersion Modeling Survey'!A244,"AAAAADoj5m4=")</f>
        <v>#VALUE!</v>
      </c>
      <c r="DH4" t="e">
        <f>AND('Air Dispersion Modeling Survey'!B244,"AAAAADoj5m8=")</f>
        <v>#VALUE!</v>
      </c>
      <c r="DI4">
        <f>IF('Air Dispersion Modeling Survey'!245:245,"AAAAADoj5nA=",0)</f>
        <v>0</v>
      </c>
      <c r="DJ4" t="e">
        <f>AND('Air Dispersion Modeling Survey'!A245,"AAAAADoj5nE=")</f>
        <v>#VALUE!</v>
      </c>
      <c r="DK4" t="e">
        <f>AND('Air Dispersion Modeling Survey'!B245,"AAAAADoj5nI=")</f>
        <v>#VALUE!</v>
      </c>
      <c r="DL4">
        <f>IF('Air Dispersion Modeling Survey'!246:246,"AAAAADoj5nM=",0)</f>
        <v>0</v>
      </c>
      <c r="DM4" t="e">
        <f>AND('Air Dispersion Modeling Survey'!A246,"AAAAADoj5nQ=")</f>
        <v>#VALUE!</v>
      </c>
      <c r="DN4" t="e">
        <f>AND('Air Dispersion Modeling Survey'!B246,"AAAAADoj5nU=")</f>
        <v>#VALUE!</v>
      </c>
      <c r="DO4">
        <f>IF('Air Dispersion Modeling Survey'!247:247,"AAAAADoj5nY=",0)</f>
        <v>0</v>
      </c>
      <c r="DP4" t="e">
        <f>AND('Air Dispersion Modeling Survey'!A247,"AAAAADoj5nc=")</f>
        <v>#VALUE!</v>
      </c>
      <c r="DQ4" t="e">
        <f>AND('Air Dispersion Modeling Survey'!B247,"AAAAADoj5ng=")</f>
        <v>#VALUE!</v>
      </c>
      <c r="DR4">
        <f>IF('Air Dispersion Modeling Survey'!248:248,"AAAAADoj5nk=",0)</f>
        <v>0</v>
      </c>
      <c r="DS4" t="e">
        <f>AND('Air Dispersion Modeling Survey'!A248,"AAAAADoj5no=")</f>
        <v>#VALUE!</v>
      </c>
      <c r="DT4" t="e">
        <f>AND('Air Dispersion Modeling Survey'!B248,"AAAAADoj5ns=")</f>
        <v>#VALUE!</v>
      </c>
      <c r="DU4">
        <f>IF('Air Dispersion Modeling Survey'!249:249,"AAAAADoj5nw=",0)</f>
        <v>0</v>
      </c>
      <c r="DV4" t="e">
        <f>AND('Air Dispersion Modeling Survey'!A249,"AAAAADoj5n0=")</f>
        <v>#VALUE!</v>
      </c>
      <c r="DW4" t="e">
        <f>AND('Air Dispersion Modeling Survey'!B249,"AAAAADoj5n4=")</f>
        <v>#VALUE!</v>
      </c>
      <c r="DX4">
        <f>IF('Air Dispersion Modeling Survey'!250:250,"AAAAADoj5n8=",0)</f>
        <v>0</v>
      </c>
      <c r="DY4" t="e">
        <f>AND('Air Dispersion Modeling Survey'!A250,"AAAAADoj5oA=")</f>
        <v>#VALUE!</v>
      </c>
      <c r="DZ4" t="e">
        <f>AND('Air Dispersion Modeling Survey'!B250,"AAAAADoj5oE=")</f>
        <v>#VALUE!</v>
      </c>
      <c r="EA4">
        <f>IF('Air Dispersion Modeling Survey'!251:251,"AAAAADoj5oI=",0)</f>
        <v>0</v>
      </c>
      <c r="EB4" t="e">
        <f>AND('Air Dispersion Modeling Survey'!A251,"AAAAADoj5oM=")</f>
        <v>#VALUE!</v>
      </c>
      <c r="EC4" t="e">
        <f>AND('Air Dispersion Modeling Survey'!B251,"AAAAADoj5oQ=")</f>
        <v>#VALUE!</v>
      </c>
      <c r="ED4">
        <f>IF('Air Dispersion Modeling Survey'!252:252,"AAAAADoj5oU=",0)</f>
        <v>0</v>
      </c>
      <c r="EE4" t="e">
        <f>AND('Air Dispersion Modeling Survey'!A252,"AAAAADoj5oY=")</f>
        <v>#VALUE!</v>
      </c>
      <c r="EF4" t="e">
        <f>AND('Air Dispersion Modeling Survey'!B252,"AAAAADoj5oc=")</f>
        <v>#VALUE!</v>
      </c>
      <c r="EG4">
        <f>IF('Air Dispersion Modeling Survey'!253:253,"AAAAADoj5og=",0)</f>
        <v>0</v>
      </c>
      <c r="EH4" t="e">
        <f>AND('Air Dispersion Modeling Survey'!A253,"AAAAADoj5ok=")</f>
        <v>#VALUE!</v>
      </c>
      <c r="EI4" t="e">
        <f>AND('Air Dispersion Modeling Survey'!B253,"AAAAADoj5oo=")</f>
        <v>#VALUE!</v>
      </c>
      <c r="EJ4">
        <f>IF('Air Dispersion Modeling Survey'!254:254,"AAAAADoj5os=",0)</f>
        <v>0</v>
      </c>
      <c r="EK4" t="e">
        <f>AND('Air Dispersion Modeling Survey'!A254,"AAAAADoj5ow=")</f>
        <v>#VALUE!</v>
      </c>
      <c r="EL4" t="e">
        <f>AND('Air Dispersion Modeling Survey'!B254,"AAAAADoj5o0=")</f>
        <v>#VALUE!</v>
      </c>
      <c r="EM4">
        <f>IF('Air Dispersion Modeling Survey'!255:255,"AAAAADoj5o4=",0)</f>
        <v>0</v>
      </c>
      <c r="EN4" t="e">
        <f>AND('Air Dispersion Modeling Survey'!A255,"AAAAADoj5o8=")</f>
        <v>#VALUE!</v>
      </c>
      <c r="EO4" t="e">
        <f>AND('Air Dispersion Modeling Survey'!B255,"AAAAADoj5pA=")</f>
        <v>#VALUE!</v>
      </c>
      <c r="EP4">
        <f>IF('Air Dispersion Modeling Survey'!256:256,"AAAAADoj5pE=",0)</f>
        <v>0</v>
      </c>
      <c r="EQ4" t="e">
        <f>AND('Air Dispersion Modeling Survey'!A256,"AAAAADoj5pI=")</f>
        <v>#VALUE!</v>
      </c>
      <c r="ER4" t="e">
        <f>AND('Air Dispersion Modeling Survey'!B256,"AAAAADoj5pM=")</f>
        <v>#VALUE!</v>
      </c>
      <c r="ES4">
        <f>IF('Air Dispersion Modeling Survey'!257:257,"AAAAADoj5pQ=",0)</f>
        <v>0</v>
      </c>
      <c r="ET4" t="e">
        <f>AND('Air Dispersion Modeling Survey'!A257,"AAAAADoj5pU=")</f>
        <v>#VALUE!</v>
      </c>
      <c r="EU4" t="e">
        <f>AND('Air Dispersion Modeling Survey'!B257,"AAAAADoj5pY=")</f>
        <v>#VALUE!</v>
      </c>
      <c r="EV4">
        <f>IF('Air Dispersion Modeling Survey'!258:258,"AAAAADoj5pc=",0)</f>
        <v>0</v>
      </c>
      <c r="EW4" t="e">
        <f>AND('Air Dispersion Modeling Survey'!A258,"AAAAADoj5pg=")</f>
        <v>#VALUE!</v>
      </c>
      <c r="EX4" t="e">
        <f>AND('Air Dispersion Modeling Survey'!B258,"AAAAADoj5pk=")</f>
        <v>#VALUE!</v>
      </c>
      <c r="EY4">
        <f>IF('Air Dispersion Modeling Survey'!259:259,"AAAAADoj5po=",0)</f>
        <v>0</v>
      </c>
      <c r="EZ4" t="e">
        <f>AND('Air Dispersion Modeling Survey'!A259,"AAAAADoj5ps=")</f>
        <v>#VALUE!</v>
      </c>
      <c r="FA4" t="e">
        <f>AND('Air Dispersion Modeling Survey'!B259,"AAAAADoj5pw=")</f>
        <v>#VALUE!</v>
      </c>
      <c r="FB4">
        <f>IF('Air Dispersion Modeling Survey'!260:260,"AAAAADoj5p0=",0)</f>
        <v>0</v>
      </c>
      <c r="FC4" t="e">
        <f>AND('Air Dispersion Modeling Survey'!A260,"AAAAADoj5p4=")</f>
        <v>#VALUE!</v>
      </c>
      <c r="FD4" t="e">
        <f>AND('Air Dispersion Modeling Survey'!B260,"AAAAADoj5p8=")</f>
        <v>#VALUE!</v>
      </c>
      <c r="FE4">
        <f>IF('Air Dispersion Modeling Survey'!261:261,"AAAAADoj5qA=",0)</f>
        <v>0</v>
      </c>
      <c r="FF4" t="e">
        <f>AND('Air Dispersion Modeling Survey'!A261,"AAAAADoj5qE=")</f>
        <v>#VALUE!</v>
      </c>
      <c r="FG4" t="e">
        <f>AND('Air Dispersion Modeling Survey'!B261,"AAAAADoj5qI=")</f>
        <v>#VALUE!</v>
      </c>
      <c r="FH4">
        <f>IF('Air Dispersion Modeling Survey'!262:262,"AAAAADoj5qM=",0)</f>
        <v>0</v>
      </c>
      <c r="FI4" t="e">
        <f>AND('Air Dispersion Modeling Survey'!A262,"AAAAADoj5qQ=")</f>
        <v>#VALUE!</v>
      </c>
      <c r="FJ4" t="e">
        <f>AND('Air Dispersion Modeling Survey'!B262,"AAAAADoj5qU=")</f>
        <v>#VALUE!</v>
      </c>
      <c r="FK4">
        <f>IF('Air Dispersion Modeling Survey'!263:263,"AAAAADoj5qY=",0)</f>
        <v>0</v>
      </c>
      <c r="FL4" t="e">
        <f>AND('Air Dispersion Modeling Survey'!A263,"AAAAADoj5qc=")</f>
        <v>#VALUE!</v>
      </c>
      <c r="FM4" t="e">
        <f>AND('Air Dispersion Modeling Survey'!B263,"AAAAADoj5qg=")</f>
        <v>#VALUE!</v>
      </c>
      <c r="FN4">
        <f>IF('Air Dispersion Modeling Survey'!264:264,"AAAAADoj5qk=",0)</f>
        <v>0</v>
      </c>
      <c r="FO4" t="e">
        <f>AND('Air Dispersion Modeling Survey'!A264,"AAAAADoj5qo=")</f>
        <v>#VALUE!</v>
      </c>
      <c r="FP4" t="e">
        <f>AND('Air Dispersion Modeling Survey'!B264,"AAAAADoj5qs=")</f>
        <v>#VALUE!</v>
      </c>
      <c r="FQ4">
        <f>IF('Air Dispersion Modeling Survey'!265:265,"AAAAADoj5qw=",0)</f>
        <v>0</v>
      </c>
      <c r="FR4" t="e">
        <f>AND('Air Dispersion Modeling Survey'!A265,"AAAAADoj5q0=")</f>
        <v>#VALUE!</v>
      </c>
      <c r="FS4" t="e">
        <f>AND('Air Dispersion Modeling Survey'!B265,"AAAAADoj5q4=")</f>
        <v>#VALUE!</v>
      </c>
      <c r="FT4">
        <f>IF('Air Dispersion Modeling Survey'!266:266,"AAAAADoj5q8=",0)</f>
        <v>0</v>
      </c>
      <c r="FU4" t="e">
        <f>AND('Air Dispersion Modeling Survey'!A266,"AAAAADoj5rA=")</f>
        <v>#VALUE!</v>
      </c>
      <c r="FV4" t="e">
        <f>AND('Air Dispersion Modeling Survey'!B266,"AAAAADoj5rE=")</f>
        <v>#VALUE!</v>
      </c>
      <c r="FW4">
        <f>IF('Air Dispersion Modeling Survey'!267:267,"AAAAADoj5rI=",0)</f>
        <v>0</v>
      </c>
      <c r="FX4" t="e">
        <f>AND('Air Dispersion Modeling Survey'!A267,"AAAAADoj5rM=")</f>
        <v>#VALUE!</v>
      </c>
      <c r="FY4" t="e">
        <f>AND('Air Dispersion Modeling Survey'!B267,"AAAAADoj5rQ=")</f>
        <v>#VALUE!</v>
      </c>
      <c r="FZ4">
        <f>IF('Air Dispersion Modeling Survey'!268:268,"AAAAADoj5rU=",0)</f>
        <v>0</v>
      </c>
      <c r="GA4" t="e">
        <f>AND('Air Dispersion Modeling Survey'!A268,"AAAAADoj5rY=")</f>
        <v>#VALUE!</v>
      </c>
      <c r="GB4" t="e">
        <f>AND('Air Dispersion Modeling Survey'!B268,"AAAAADoj5rc=")</f>
        <v>#VALUE!</v>
      </c>
      <c r="GC4">
        <f>IF('Air Dispersion Modeling Survey'!269:269,"AAAAADoj5rg=",0)</f>
        <v>0</v>
      </c>
      <c r="GD4" t="e">
        <f>AND('Air Dispersion Modeling Survey'!A269,"AAAAADoj5rk=")</f>
        <v>#VALUE!</v>
      </c>
      <c r="GE4" t="e">
        <f>AND('Air Dispersion Modeling Survey'!B269,"AAAAADoj5ro=")</f>
        <v>#VALUE!</v>
      </c>
      <c r="GF4">
        <f>IF('Air Dispersion Modeling Survey'!270:270,"AAAAADoj5rs=",0)</f>
        <v>0</v>
      </c>
      <c r="GG4" t="e">
        <f>AND('Air Dispersion Modeling Survey'!A270,"AAAAADoj5rw=")</f>
        <v>#VALUE!</v>
      </c>
      <c r="GH4" t="e">
        <f>AND('Air Dispersion Modeling Survey'!B270,"AAAAADoj5r0=")</f>
        <v>#VALUE!</v>
      </c>
      <c r="GI4">
        <f>IF('Air Dispersion Modeling Survey'!271:271,"AAAAADoj5r4=",0)</f>
        <v>0</v>
      </c>
      <c r="GJ4" t="e">
        <f>AND('Air Dispersion Modeling Survey'!A271,"AAAAADoj5r8=")</f>
        <v>#VALUE!</v>
      </c>
      <c r="GK4" t="e">
        <f>AND('Air Dispersion Modeling Survey'!B271,"AAAAADoj5sA=")</f>
        <v>#VALUE!</v>
      </c>
      <c r="GL4">
        <f>IF('Air Dispersion Modeling Survey'!272:272,"AAAAADoj5sE=",0)</f>
        <v>0</v>
      </c>
      <c r="GM4" t="e">
        <f>AND('Air Dispersion Modeling Survey'!A272,"AAAAADoj5sI=")</f>
        <v>#VALUE!</v>
      </c>
      <c r="GN4" t="e">
        <f>AND('Air Dispersion Modeling Survey'!B272,"AAAAADoj5sM=")</f>
        <v>#VALUE!</v>
      </c>
      <c r="GO4">
        <f>IF('Air Dispersion Modeling Survey'!273:273,"AAAAADoj5sQ=",0)</f>
        <v>0</v>
      </c>
      <c r="GP4" t="e">
        <f>AND('Air Dispersion Modeling Survey'!A273,"AAAAADoj5sU=")</f>
        <v>#VALUE!</v>
      </c>
      <c r="GQ4" t="e">
        <f>AND('Air Dispersion Modeling Survey'!B273,"AAAAADoj5sY=")</f>
        <v>#VALUE!</v>
      </c>
      <c r="GR4">
        <f>IF('Air Dispersion Modeling Survey'!274:274,"AAAAADoj5sc=",0)</f>
        <v>0</v>
      </c>
      <c r="GS4" t="e">
        <f>AND('Air Dispersion Modeling Survey'!A274,"AAAAADoj5sg=")</f>
        <v>#VALUE!</v>
      </c>
      <c r="GT4" t="e">
        <f>AND('Air Dispersion Modeling Survey'!B274,"AAAAADoj5sk=")</f>
        <v>#VALUE!</v>
      </c>
      <c r="GU4">
        <f>IF('Air Dispersion Modeling Survey'!275:275,"AAAAADoj5so=",0)</f>
        <v>0</v>
      </c>
      <c r="GV4" t="e">
        <f>AND('Air Dispersion Modeling Survey'!A275,"AAAAADoj5ss=")</f>
        <v>#VALUE!</v>
      </c>
      <c r="GW4" t="e">
        <f>AND('Air Dispersion Modeling Survey'!B275,"AAAAADoj5sw=")</f>
        <v>#VALUE!</v>
      </c>
      <c r="GX4">
        <f>IF('Air Dispersion Modeling Survey'!276:276,"AAAAADoj5s0=",0)</f>
        <v>0</v>
      </c>
      <c r="GY4" t="e">
        <f>AND('Air Dispersion Modeling Survey'!A276,"AAAAADoj5s4=")</f>
        <v>#VALUE!</v>
      </c>
      <c r="GZ4" t="e">
        <f>AND('Air Dispersion Modeling Survey'!B276,"AAAAADoj5s8=")</f>
        <v>#VALUE!</v>
      </c>
      <c r="HA4">
        <f>IF('Air Dispersion Modeling Survey'!277:277,"AAAAADoj5tA=",0)</f>
        <v>0</v>
      </c>
      <c r="HB4" t="e">
        <f>AND('Air Dispersion Modeling Survey'!A277,"AAAAADoj5tE=")</f>
        <v>#VALUE!</v>
      </c>
      <c r="HC4" t="e">
        <f>AND('Air Dispersion Modeling Survey'!B277,"AAAAADoj5tI=")</f>
        <v>#VALUE!</v>
      </c>
      <c r="HD4">
        <f>IF('Air Dispersion Modeling Survey'!278:278,"AAAAADoj5tM=",0)</f>
        <v>0</v>
      </c>
      <c r="HE4" t="e">
        <f>AND('Air Dispersion Modeling Survey'!A278,"AAAAADoj5tQ=")</f>
        <v>#VALUE!</v>
      </c>
      <c r="HF4" t="e">
        <f>AND('Air Dispersion Modeling Survey'!B278,"AAAAADoj5tU=")</f>
        <v>#VALUE!</v>
      </c>
      <c r="HG4">
        <f>IF('Air Dispersion Modeling Survey'!279:279,"AAAAADoj5tY=",0)</f>
        <v>0</v>
      </c>
      <c r="HH4" t="e">
        <f>AND('Air Dispersion Modeling Survey'!A279,"AAAAADoj5tc=")</f>
        <v>#VALUE!</v>
      </c>
      <c r="HI4" t="e">
        <f>AND('Air Dispersion Modeling Survey'!B279,"AAAAADoj5tg=")</f>
        <v>#VALUE!</v>
      </c>
      <c r="HJ4">
        <f>IF('Air Dispersion Modeling Survey'!280:280,"AAAAADoj5tk=",0)</f>
        <v>0</v>
      </c>
      <c r="HK4" t="e">
        <f>AND('Air Dispersion Modeling Survey'!A280,"AAAAADoj5to=")</f>
        <v>#VALUE!</v>
      </c>
      <c r="HL4" t="e">
        <f>AND('Air Dispersion Modeling Survey'!B280,"AAAAADoj5ts=")</f>
        <v>#VALUE!</v>
      </c>
      <c r="HM4">
        <f>IF('Air Dispersion Modeling Survey'!281:281,"AAAAADoj5tw=",0)</f>
        <v>0</v>
      </c>
      <c r="HN4" t="e">
        <f>AND('Air Dispersion Modeling Survey'!A281,"AAAAADoj5t0=")</f>
        <v>#VALUE!</v>
      </c>
      <c r="HO4" t="e">
        <f>AND('Air Dispersion Modeling Survey'!B281,"AAAAADoj5t4=")</f>
        <v>#VALUE!</v>
      </c>
      <c r="HP4">
        <f>IF('Air Dispersion Modeling Survey'!282:282,"AAAAADoj5t8=",0)</f>
        <v>0</v>
      </c>
      <c r="HQ4" t="e">
        <f>AND('Air Dispersion Modeling Survey'!A282,"AAAAADoj5uA=")</f>
        <v>#VALUE!</v>
      </c>
      <c r="HR4" t="e">
        <f>AND('Air Dispersion Modeling Survey'!B282,"AAAAADoj5uE=")</f>
        <v>#VALUE!</v>
      </c>
      <c r="HS4">
        <f>IF('Air Dispersion Modeling Survey'!283:283,"AAAAADoj5uI=",0)</f>
        <v>0</v>
      </c>
      <c r="HT4" t="e">
        <f>AND('Air Dispersion Modeling Survey'!A283,"AAAAADoj5uM=")</f>
        <v>#VALUE!</v>
      </c>
      <c r="HU4" t="e">
        <f>AND('Air Dispersion Modeling Survey'!B283,"AAAAADoj5uQ=")</f>
        <v>#VALUE!</v>
      </c>
      <c r="HV4">
        <f>IF('Air Dispersion Modeling Survey'!284:284,"AAAAADoj5uU=",0)</f>
        <v>0</v>
      </c>
      <c r="HW4" t="e">
        <f>AND('Air Dispersion Modeling Survey'!A284,"AAAAADoj5uY=")</f>
        <v>#VALUE!</v>
      </c>
      <c r="HX4" t="e">
        <f>AND('Air Dispersion Modeling Survey'!B284,"AAAAADoj5uc=")</f>
        <v>#VALUE!</v>
      </c>
      <c r="HY4">
        <f>IF('Air Dispersion Modeling Survey'!285:285,"AAAAADoj5ug=",0)</f>
        <v>0</v>
      </c>
      <c r="HZ4" t="e">
        <f>AND('Air Dispersion Modeling Survey'!A285,"AAAAADoj5uk=")</f>
        <v>#VALUE!</v>
      </c>
      <c r="IA4" t="e">
        <f>AND('Air Dispersion Modeling Survey'!B285,"AAAAADoj5uo=")</f>
        <v>#VALUE!</v>
      </c>
      <c r="IB4">
        <f>IF('Air Dispersion Modeling Survey'!286:286,"AAAAADoj5us=",0)</f>
        <v>0</v>
      </c>
      <c r="IC4" t="e">
        <f>AND('Air Dispersion Modeling Survey'!A286,"AAAAADoj5uw=")</f>
        <v>#VALUE!</v>
      </c>
      <c r="ID4" t="e">
        <f>AND('Air Dispersion Modeling Survey'!B286,"AAAAADoj5u0=")</f>
        <v>#VALUE!</v>
      </c>
      <c r="IE4">
        <f>IF('Air Dispersion Modeling Survey'!287:287,"AAAAADoj5u4=",0)</f>
        <v>0</v>
      </c>
      <c r="IF4" t="e">
        <f>AND('Air Dispersion Modeling Survey'!A287,"AAAAADoj5u8=")</f>
        <v>#VALUE!</v>
      </c>
      <c r="IG4" t="e">
        <f>AND('Air Dispersion Modeling Survey'!B287,"AAAAADoj5vA=")</f>
        <v>#VALUE!</v>
      </c>
      <c r="IH4">
        <f>IF('Air Dispersion Modeling Survey'!288:288,"AAAAADoj5vE=",0)</f>
        <v>0</v>
      </c>
      <c r="II4" t="e">
        <f>AND('Air Dispersion Modeling Survey'!A288,"AAAAADoj5vI=")</f>
        <v>#VALUE!</v>
      </c>
      <c r="IJ4" t="e">
        <f>AND('Air Dispersion Modeling Survey'!B288,"AAAAADoj5vM=")</f>
        <v>#VALUE!</v>
      </c>
      <c r="IK4">
        <f>IF('Air Dispersion Modeling Survey'!289:289,"AAAAADoj5vQ=",0)</f>
        <v>0</v>
      </c>
      <c r="IL4" t="e">
        <f>AND('Air Dispersion Modeling Survey'!A289,"AAAAADoj5vU=")</f>
        <v>#VALUE!</v>
      </c>
      <c r="IM4" t="e">
        <f>AND('Air Dispersion Modeling Survey'!B289,"AAAAADoj5vY=")</f>
        <v>#VALUE!</v>
      </c>
      <c r="IN4">
        <f>IF('Air Dispersion Modeling Survey'!290:290,"AAAAADoj5vc=",0)</f>
        <v>0</v>
      </c>
      <c r="IO4" t="e">
        <f>AND('Air Dispersion Modeling Survey'!A290,"AAAAADoj5vg=")</f>
        <v>#VALUE!</v>
      </c>
      <c r="IP4" t="e">
        <f>AND('Air Dispersion Modeling Survey'!B290,"AAAAADoj5vk=")</f>
        <v>#VALUE!</v>
      </c>
      <c r="IQ4">
        <f>IF('Air Dispersion Modeling Survey'!291:291,"AAAAADoj5vo=",0)</f>
        <v>0</v>
      </c>
      <c r="IR4" t="e">
        <f>AND('Air Dispersion Modeling Survey'!A291,"AAAAADoj5vs=")</f>
        <v>#VALUE!</v>
      </c>
      <c r="IS4" t="e">
        <f>AND('Air Dispersion Modeling Survey'!B291,"AAAAADoj5vw=")</f>
        <v>#VALUE!</v>
      </c>
      <c r="IT4">
        <f>IF('Air Dispersion Modeling Survey'!292:292,"AAAAADoj5v0=",0)</f>
        <v>0</v>
      </c>
      <c r="IU4" t="e">
        <f>AND('Air Dispersion Modeling Survey'!A292,"AAAAADoj5v4=")</f>
        <v>#VALUE!</v>
      </c>
      <c r="IV4" t="e">
        <f>AND('Air Dispersion Modeling Survey'!B292,"AAAAADoj5v8=")</f>
        <v>#VALUE!</v>
      </c>
    </row>
    <row r="5" spans="1:128" ht="15">
      <c r="A5">
        <f>IF('Air Dispersion Modeling Survey'!293:293,"AAAAAHfeewA=",0)</f>
        <v>0</v>
      </c>
      <c r="B5" t="e">
        <f>AND('Air Dispersion Modeling Survey'!A293,"AAAAAHfeewE=")</f>
        <v>#VALUE!</v>
      </c>
      <c r="C5" t="e">
        <f>AND('Air Dispersion Modeling Survey'!B293,"AAAAAHfeewI=")</f>
        <v>#VALUE!</v>
      </c>
      <c r="D5">
        <f>IF('Air Dispersion Modeling Survey'!294:294,"AAAAAHfeewM=",0)</f>
        <v>0</v>
      </c>
      <c r="E5" t="e">
        <f>AND('Air Dispersion Modeling Survey'!A294,"AAAAAHfeewQ=")</f>
        <v>#VALUE!</v>
      </c>
      <c r="F5" t="e">
        <f>AND('Air Dispersion Modeling Survey'!B294,"AAAAAHfeewU=")</f>
        <v>#VALUE!</v>
      </c>
      <c r="G5">
        <f>IF('Air Dispersion Modeling Survey'!295:295,"AAAAAHfeewY=",0)</f>
        <v>0</v>
      </c>
      <c r="H5" t="e">
        <f>AND('Air Dispersion Modeling Survey'!A295,"AAAAAHfeewc=")</f>
        <v>#VALUE!</v>
      </c>
      <c r="I5" t="e">
        <f>AND('Air Dispersion Modeling Survey'!B295,"AAAAAHfeewg=")</f>
        <v>#VALUE!</v>
      </c>
      <c r="J5">
        <f>IF('Air Dispersion Modeling Survey'!296:296,"AAAAAHfeewk=",0)</f>
        <v>0</v>
      </c>
      <c r="K5" t="e">
        <f>AND('Air Dispersion Modeling Survey'!A296,"AAAAAHfeewo=")</f>
        <v>#VALUE!</v>
      </c>
      <c r="L5" t="e">
        <f>AND('Air Dispersion Modeling Survey'!B296,"AAAAAHfeews=")</f>
        <v>#VALUE!</v>
      </c>
      <c r="M5">
        <f>IF('Air Dispersion Modeling Survey'!297:297,"AAAAAHfeeww=",0)</f>
        <v>0</v>
      </c>
      <c r="N5" t="e">
        <f>AND('Air Dispersion Modeling Survey'!A297,"AAAAAHfeew0=")</f>
        <v>#VALUE!</v>
      </c>
      <c r="O5" t="e">
        <f>AND('Air Dispersion Modeling Survey'!B297,"AAAAAHfeew4=")</f>
        <v>#VALUE!</v>
      </c>
      <c r="P5">
        <f>IF('Air Dispersion Modeling Survey'!298:298,"AAAAAHfeew8=",0)</f>
        <v>0</v>
      </c>
      <c r="Q5" t="e">
        <f>AND('Air Dispersion Modeling Survey'!A298,"AAAAAHfeexA=")</f>
        <v>#VALUE!</v>
      </c>
      <c r="R5" t="e">
        <f>AND('Air Dispersion Modeling Survey'!B298,"AAAAAHfeexE=")</f>
        <v>#VALUE!</v>
      </c>
      <c r="S5">
        <f>IF('Air Dispersion Modeling Survey'!299:299,"AAAAAHfeexI=",0)</f>
        <v>0</v>
      </c>
      <c r="T5" t="e">
        <f>AND('Air Dispersion Modeling Survey'!A299,"AAAAAHfeexM=")</f>
        <v>#VALUE!</v>
      </c>
      <c r="U5" t="e">
        <f>AND('Air Dispersion Modeling Survey'!B299,"AAAAAHfeexQ=")</f>
        <v>#VALUE!</v>
      </c>
      <c r="V5">
        <f>IF('Air Dispersion Modeling Survey'!300:300,"AAAAAHfeexU=",0)</f>
        <v>0</v>
      </c>
      <c r="W5" t="e">
        <f>AND('Air Dispersion Modeling Survey'!A300,"AAAAAHfeexY=")</f>
        <v>#VALUE!</v>
      </c>
      <c r="X5" t="e">
        <f>AND('Air Dispersion Modeling Survey'!B300,"AAAAAHfeexc=")</f>
        <v>#VALUE!</v>
      </c>
      <c r="Y5">
        <f>IF('Air Dispersion Modeling Survey'!301:301,"AAAAAHfeexg=",0)</f>
        <v>0</v>
      </c>
      <c r="Z5" t="e">
        <f>AND('Air Dispersion Modeling Survey'!A301,"AAAAAHfeexk=")</f>
        <v>#VALUE!</v>
      </c>
      <c r="AA5" t="e">
        <f>AND('Air Dispersion Modeling Survey'!B301,"AAAAAHfeexo=")</f>
        <v>#VALUE!</v>
      </c>
      <c r="AB5">
        <f>IF('Air Dispersion Modeling Survey'!302:302,"AAAAAHfeexs=",0)</f>
        <v>0</v>
      </c>
      <c r="AC5" t="e">
        <f>AND('Air Dispersion Modeling Survey'!A302,"AAAAAHfeexw=")</f>
        <v>#VALUE!</v>
      </c>
      <c r="AD5" t="e">
        <f>AND('Air Dispersion Modeling Survey'!B302,"AAAAAHfeex0=")</f>
        <v>#VALUE!</v>
      </c>
      <c r="AE5">
        <f>IF('Air Dispersion Modeling Survey'!303:303,"AAAAAHfeex4=",0)</f>
        <v>0</v>
      </c>
      <c r="AF5" t="e">
        <f>AND('Air Dispersion Modeling Survey'!A303,"AAAAAHfeex8=")</f>
        <v>#VALUE!</v>
      </c>
      <c r="AG5" t="e">
        <f>AND('Air Dispersion Modeling Survey'!B303,"AAAAAHfeeyA=")</f>
        <v>#VALUE!</v>
      </c>
      <c r="AH5">
        <f>IF('Air Dispersion Modeling Survey'!304:304,"AAAAAHfeeyE=",0)</f>
        <v>0</v>
      </c>
      <c r="AI5" t="e">
        <f>AND('Air Dispersion Modeling Survey'!A304,"AAAAAHfeeyI=")</f>
        <v>#VALUE!</v>
      </c>
      <c r="AJ5" t="e">
        <f>AND('Air Dispersion Modeling Survey'!B304,"AAAAAHfeeyM=")</f>
        <v>#VALUE!</v>
      </c>
      <c r="AK5">
        <f>IF('Air Dispersion Modeling Survey'!305:305,"AAAAAHfeeyQ=",0)</f>
        <v>0</v>
      </c>
      <c r="AL5" t="e">
        <f>AND('Air Dispersion Modeling Survey'!A305,"AAAAAHfeeyU=")</f>
        <v>#VALUE!</v>
      </c>
      <c r="AM5" t="e">
        <f>AND('Air Dispersion Modeling Survey'!B305,"AAAAAHfeeyY=")</f>
        <v>#VALUE!</v>
      </c>
      <c r="AN5">
        <f>IF('Air Dispersion Modeling Survey'!306:306,"AAAAAHfeeyc=",0)</f>
        <v>0</v>
      </c>
      <c r="AO5" t="e">
        <f>AND('Air Dispersion Modeling Survey'!A306,"AAAAAHfeeyg=")</f>
        <v>#VALUE!</v>
      </c>
      <c r="AP5" t="e">
        <f>AND('Air Dispersion Modeling Survey'!B306,"AAAAAHfeeyk=")</f>
        <v>#VALUE!</v>
      </c>
      <c r="AQ5">
        <f>IF('Air Dispersion Modeling Survey'!307:307,"AAAAAHfeeyo=",0)</f>
        <v>0</v>
      </c>
      <c r="AR5" t="e">
        <f>AND('Air Dispersion Modeling Survey'!A307,"AAAAAHfeeys=")</f>
        <v>#VALUE!</v>
      </c>
      <c r="AS5" t="e">
        <f>AND('Air Dispersion Modeling Survey'!B307,"AAAAAHfeeyw=")</f>
        <v>#VALUE!</v>
      </c>
      <c r="AT5">
        <f>IF('Air Dispersion Modeling Survey'!308:308,"AAAAAHfeey0=",0)</f>
        <v>0</v>
      </c>
      <c r="AU5" t="e">
        <f>AND('Air Dispersion Modeling Survey'!A308,"AAAAAHfeey4=")</f>
        <v>#VALUE!</v>
      </c>
      <c r="AV5" t="e">
        <f>AND('Air Dispersion Modeling Survey'!B308,"AAAAAHfeey8=")</f>
        <v>#VALUE!</v>
      </c>
      <c r="AW5">
        <f>IF('Air Dispersion Modeling Survey'!309:309,"AAAAAHfeezA=",0)</f>
        <v>0</v>
      </c>
      <c r="AX5" t="e">
        <f>AND('Air Dispersion Modeling Survey'!A309,"AAAAAHfeezE=")</f>
        <v>#VALUE!</v>
      </c>
      <c r="AY5" t="e">
        <f>AND('Air Dispersion Modeling Survey'!B309,"AAAAAHfeezI=")</f>
        <v>#VALUE!</v>
      </c>
      <c r="AZ5">
        <f>IF('Air Dispersion Modeling Survey'!310:310,"AAAAAHfeezM=",0)</f>
        <v>0</v>
      </c>
      <c r="BA5" t="e">
        <f>AND('Air Dispersion Modeling Survey'!A310,"AAAAAHfeezQ=")</f>
        <v>#VALUE!</v>
      </c>
      <c r="BB5" t="e">
        <f>AND('Air Dispersion Modeling Survey'!B310,"AAAAAHfeezU=")</f>
        <v>#VALUE!</v>
      </c>
      <c r="BC5">
        <f>IF('Air Dispersion Modeling Survey'!311:311,"AAAAAHfeezY=",0)</f>
        <v>0</v>
      </c>
      <c r="BD5" t="e">
        <f>AND('Air Dispersion Modeling Survey'!A311,"AAAAAHfeezc=")</f>
        <v>#VALUE!</v>
      </c>
      <c r="BE5" t="e">
        <f>AND('Air Dispersion Modeling Survey'!B311,"AAAAAHfeezg=")</f>
        <v>#VALUE!</v>
      </c>
      <c r="BF5">
        <f>IF('Air Dispersion Modeling Survey'!312:312,"AAAAAHfeezk=",0)</f>
        <v>0</v>
      </c>
      <c r="BG5" t="e">
        <f>AND('Air Dispersion Modeling Survey'!A312,"AAAAAHfeezo=")</f>
        <v>#VALUE!</v>
      </c>
      <c r="BH5" t="e">
        <f>AND('Air Dispersion Modeling Survey'!B312,"AAAAAHfeezs=")</f>
        <v>#VALUE!</v>
      </c>
      <c r="BI5">
        <f>IF('Air Dispersion Modeling Survey'!313:313,"AAAAAHfeezw=",0)</f>
        <v>0</v>
      </c>
      <c r="BJ5" t="e">
        <f>AND('Air Dispersion Modeling Survey'!A313,"AAAAAHfeez0=")</f>
        <v>#VALUE!</v>
      </c>
      <c r="BK5" t="e">
        <f>AND('Air Dispersion Modeling Survey'!B313,"AAAAAHfeez4=")</f>
        <v>#VALUE!</v>
      </c>
      <c r="BL5">
        <f>IF('Air Dispersion Modeling Survey'!314:314,"AAAAAHfeez8=",0)</f>
        <v>0</v>
      </c>
      <c r="BM5" t="e">
        <f>AND('Air Dispersion Modeling Survey'!A314,"AAAAAHfee0A=")</f>
        <v>#VALUE!</v>
      </c>
      <c r="BN5" t="e">
        <f>AND('Air Dispersion Modeling Survey'!B314,"AAAAAHfee0E=")</f>
        <v>#VALUE!</v>
      </c>
      <c r="BO5">
        <f>IF('Air Dispersion Modeling Survey'!315:315,"AAAAAHfee0I=",0)</f>
        <v>0</v>
      </c>
      <c r="BP5" t="e">
        <f>AND('Air Dispersion Modeling Survey'!A315,"AAAAAHfee0M=")</f>
        <v>#VALUE!</v>
      </c>
      <c r="BQ5" t="e">
        <f>AND('Air Dispersion Modeling Survey'!B315,"AAAAAHfee0Q=")</f>
        <v>#VALUE!</v>
      </c>
      <c r="BR5">
        <f>IF('Air Dispersion Modeling Survey'!316:316,"AAAAAHfee0U=",0)</f>
        <v>0</v>
      </c>
      <c r="BS5" t="e">
        <f>AND('Air Dispersion Modeling Survey'!A316,"AAAAAHfee0Y=")</f>
        <v>#VALUE!</v>
      </c>
      <c r="BT5" t="e">
        <f>AND('Air Dispersion Modeling Survey'!B316,"AAAAAHfee0c=")</f>
        <v>#VALUE!</v>
      </c>
      <c r="BU5">
        <f>IF('Air Dispersion Modeling Survey'!317:317,"AAAAAHfee0g=",0)</f>
        <v>0</v>
      </c>
      <c r="BV5" t="e">
        <f>AND('Air Dispersion Modeling Survey'!A317,"AAAAAHfee0k=")</f>
        <v>#VALUE!</v>
      </c>
      <c r="BW5" t="e">
        <f>AND('Air Dispersion Modeling Survey'!B317,"AAAAAHfee0o=")</f>
        <v>#VALUE!</v>
      </c>
      <c r="BX5">
        <f>IF('Air Dispersion Modeling Survey'!318:318,"AAAAAHfee0s=",0)</f>
        <v>0</v>
      </c>
      <c r="BY5" t="e">
        <f>AND('Air Dispersion Modeling Survey'!A318,"AAAAAHfee0w=")</f>
        <v>#VALUE!</v>
      </c>
      <c r="BZ5" t="e">
        <f>AND('Air Dispersion Modeling Survey'!B318,"AAAAAHfee00=")</f>
        <v>#VALUE!</v>
      </c>
      <c r="CA5">
        <f>IF('Air Dispersion Modeling Survey'!319:319,"AAAAAHfee04=",0)</f>
        <v>0</v>
      </c>
      <c r="CB5" t="e">
        <f>AND('Air Dispersion Modeling Survey'!A319,"AAAAAHfee08=")</f>
        <v>#VALUE!</v>
      </c>
      <c r="CC5" t="e">
        <f>AND('Air Dispersion Modeling Survey'!B319,"AAAAAHfee1A=")</f>
        <v>#VALUE!</v>
      </c>
      <c r="CD5">
        <f>IF('Air Dispersion Modeling Survey'!320:320,"AAAAAHfee1E=",0)</f>
        <v>0</v>
      </c>
      <c r="CE5" t="e">
        <f>AND('Air Dispersion Modeling Survey'!A320,"AAAAAHfee1I=")</f>
        <v>#VALUE!</v>
      </c>
      <c r="CF5" t="e">
        <f>AND('Air Dispersion Modeling Survey'!B320,"AAAAAHfee1M=")</f>
        <v>#VALUE!</v>
      </c>
      <c r="CG5">
        <f>IF('Air Dispersion Modeling Survey'!321:321,"AAAAAHfee1Q=",0)</f>
        <v>0</v>
      </c>
      <c r="CH5" t="e">
        <f>AND('Air Dispersion Modeling Survey'!A321,"AAAAAHfee1U=")</f>
        <v>#VALUE!</v>
      </c>
      <c r="CI5" t="e">
        <f>AND('Air Dispersion Modeling Survey'!B321,"AAAAAHfee1Y=")</f>
        <v>#VALUE!</v>
      </c>
      <c r="CJ5">
        <f>IF('Air Dispersion Modeling Survey'!322:322,"AAAAAHfee1c=",0)</f>
        <v>0</v>
      </c>
      <c r="CK5" t="e">
        <f>AND('Air Dispersion Modeling Survey'!A322,"AAAAAHfee1g=")</f>
        <v>#VALUE!</v>
      </c>
      <c r="CL5" t="e">
        <f>AND('Air Dispersion Modeling Survey'!B322,"AAAAAHfee1k=")</f>
        <v>#VALUE!</v>
      </c>
      <c r="CM5">
        <f>IF('Air Dispersion Modeling Survey'!323:323,"AAAAAHfee1o=",0)</f>
        <v>0</v>
      </c>
      <c r="CN5" t="e">
        <f>AND('Air Dispersion Modeling Survey'!A323,"AAAAAHfee1s=")</f>
        <v>#VALUE!</v>
      </c>
      <c r="CO5" t="e">
        <f>AND('Air Dispersion Modeling Survey'!B323,"AAAAAHfee1w=")</f>
        <v>#VALUE!</v>
      </c>
      <c r="CP5">
        <f>IF('Air Dispersion Modeling Survey'!324:324,"AAAAAHfee10=",0)</f>
        <v>0</v>
      </c>
      <c r="CQ5" t="e">
        <f>AND('Air Dispersion Modeling Survey'!A324,"AAAAAHfee14=")</f>
        <v>#VALUE!</v>
      </c>
      <c r="CR5" t="e">
        <f>AND('Air Dispersion Modeling Survey'!B324,"AAAAAHfee18=")</f>
        <v>#VALUE!</v>
      </c>
      <c r="CS5">
        <f>IF('Air Dispersion Modeling Survey'!325:325,"AAAAAHfee2A=",0)</f>
        <v>0</v>
      </c>
      <c r="CT5" t="e">
        <f>AND('Air Dispersion Modeling Survey'!A325,"AAAAAHfee2E=")</f>
        <v>#VALUE!</v>
      </c>
      <c r="CU5" t="e">
        <f>AND('Air Dispersion Modeling Survey'!B325,"AAAAAHfee2I=")</f>
        <v>#VALUE!</v>
      </c>
      <c r="CV5">
        <f>IF('Air Dispersion Modeling Survey'!326:326,"AAAAAHfee2M=",0)</f>
        <v>0</v>
      </c>
      <c r="CW5" t="e">
        <f>AND('Air Dispersion Modeling Survey'!A326,"AAAAAHfee2Q=")</f>
        <v>#VALUE!</v>
      </c>
      <c r="CX5" t="e">
        <f>AND('Air Dispersion Modeling Survey'!B326,"AAAAAHfee2U=")</f>
        <v>#VALUE!</v>
      </c>
      <c r="CY5">
        <f>IF('Air Dispersion Modeling Survey'!327:327,"AAAAAHfee2Y=",0)</f>
        <v>0</v>
      </c>
      <c r="CZ5" t="e">
        <f>AND('Air Dispersion Modeling Survey'!A327,"AAAAAHfee2c=")</f>
        <v>#VALUE!</v>
      </c>
      <c r="DA5" t="e">
        <f>AND('Air Dispersion Modeling Survey'!B327,"AAAAAHfee2g=")</f>
        <v>#VALUE!</v>
      </c>
      <c r="DB5">
        <f>IF('Air Dispersion Modeling Survey'!328:328,"AAAAAHfee2k=",0)</f>
        <v>0</v>
      </c>
      <c r="DC5" t="e">
        <f>AND('Air Dispersion Modeling Survey'!A328,"AAAAAHfee2o=")</f>
        <v>#VALUE!</v>
      </c>
      <c r="DD5" t="e">
        <f>AND('Air Dispersion Modeling Survey'!B328,"AAAAAHfee2s=")</f>
        <v>#VALUE!</v>
      </c>
      <c r="DE5">
        <f>IF('Air Dispersion Modeling Survey'!329:329,"AAAAAHfee2w=",0)</f>
        <v>0</v>
      </c>
      <c r="DF5" t="e">
        <f>AND('Air Dispersion Modeling Survey'!A329,"AAAAAHfee20=")</f>
        <v>#VALUE!</v>
      </c>
      <c r="DG5" t="e">
        <f>AND('Air Dispersion Modeling Survey'!B329,"AAAAAHfee24=")</f>
        <v>#VALUE!</v>
      </c>
      <c r="DH5">
        <f>IF('Air Dispersion Modeling Survey'!330:330,"AAAAAHfee28=",0)</f>
        <v>0</v>
      </c>
      <c r="DI5" t="e">
        <f>AND('Air Dispersion Modeling Survey'!A330,"AAAAAHfee3A=")</f>
        <v>#VALUE!</v>
      </c>
      <c r="DJ5" t="e">
        <f>AND('Air Dispersion Modeling Survey'!B330,"AAAAAHfee3E=")</f>
        <v>#VALUE!</v>
      </c>
      <c r="DK5">
        <f>IF('Air Dispersion Modeling Survey'!331:331,"AAAAAHfee3I=",0)</f>
        <v>0</v>
      </c>
      <c r="DL5" t="e">
        <f>AND('Air Dispersion Modeling Survey'!A331,"AAAAAHfee3M=")</f>
        <v>#VALUE!</v>
      </c>
      <c r="DM5" t="e">
        <f>AND('Air Dispersion Modeling Survey'!B331,"AAAAAHfee3Q=")</f>
        <v>#VALUE!</v>
      </c>
      <c r="DN5">
        <f>IF('Air Dispersion Modeling Survey'!332:332,"AAAAAHfee3U=",0)</f>
        <v>0</v>
      </c>
      <c r="DO5" t="e">
        <f>AND('Air Dispersion Modeling Survey'!A332,"AAAAAHfee3Y=")</f>
        <v>#VALUE!</v>
      </c>
      <c r="DP5" t="e">
        <f>AND('Air Dispersion Modeling Survey'!B332,"AAAAAHfee3c=")</f>
        <v>#VALUE!</v>
      </c>
      <c r="DQ5">
        <f>IF('Air Dispersion Modeling Survey'!333:333,"AAAAAHfee3g=",0)</f>
        <v>0</v>
      </c>
      <c r="DR5" t="e">
        <f>AND('Air Dispersion Modeling Survey'!A333,"AAAAAHfee3k=")</f>
        <v>#VALUE!</v>
      </c>
      <c r="DS5" t="e">
        <f>AND('Air Dispersion Modeling Survey'!B333,"AAAAAHfee3o=")</f>
        <v>#VALUE!</v>
      </c>
      <c r="DT5" t="e">
        <f>IF('Air Dispersion Modeling Survey'!A:A,"AAAAAHfee3s=",0)</f>
        <v>#VALUE!</v>
      </c>
      <c r="DU5">
        <f>IF('Air Dispersion Modeling Survey'!B:B,"AAAAAHfee3w=",0)</f>
        <v>0</v>
      </c>
      <c r="DV5">
        <f>IF('Air Dispersion Modeling Survey'!C:C,"AAAAAHfee30=",0)</f>
        <v>0</v>
      </c>
      <c r="DW5">
        <f>IF('Air Dispersion Modeling Survey'!D:D,"AAAAAHfee34=",0)</f>
        <v>0</v>
      </c>
      <c r="DX5" t="s">
        <v>247</v>
      </c>
    </row>
  </sheetData>
  <sheetProtection/>
  <printOptions/>
  <pageMargins left="0.7" right="0.7" top="0.75" bottom="0.75" header="0.3" footer="0.3"/>
  <pageSetup orientation="portrait" paperSize="9"/>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Misti Duvall</dc:creator>
  <cp:keywords/>
  <dc:description/>
  <cp:lastModifiedBy>mduvall</cp:lastModifiedBy>
  <dcterms:created xsi:type="dcterms:W3CDTF">2012-04-10T17:39:14Z</dcterms:created>
  <dcterms:modified xsi:type="dcterms:W3CDTF">2012-06-21T14:14:49Z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1MMrPSkJ9o2xc_g3YZl5bAOzYcCUK5AslhSYJxb8uszg</vt:lpwstr>
  </property>
  <property fmtid="{D5CDD505-2E9C-101B-9397-08002B2CF9AE}" pid="3" name="Google.Documents.RevisionId">
    <vt:lpwstr>10114253537386618156</vt:lpwstr>
  </property>
  <property fmtid="{D5CDD505-2E9C-101B-9397-08002B2CF9AE}" pid="4" name="Google.Documents.PluginVersion">
    <vt:lpwstr>2.0.2662.553</vt:lpwstr>
  </property>
  <property fmtid="{D5CDD505-2E9C-101B-9397-08002B2CF9AE}" pid="5" name="Google.Documents.MergeIncapabilityFlags">
    <vt:i4>0</vt:i4>
  </property>
  <property fmtid="{D5CDD505-2E9C-101B-9397-08002B2CF9AE}" pid="6" name="Google.Documents.Tracking">
    <vt:lpwstr>true</vt:lpwstr>
  </property>
</Properties>
</file>